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1175" windowHeight="9120" activeTab="1"/>
  </bookViews>
  <sheets>
    <sheet name="Info" sheetId="1" r:id="rId1"/>
    <sheet name="Parameter" sheetId="2" r:id="rId2"/>
    <sheet name="Berechnung" sheetId="3" r:id="rId3"/>
    <sheet name="Jahresergebnis" sheetId="4" r:id="rId4"/>
    <sheet name="Kapitalwert" sheetId="5" r:id="rId5"/>
    <sheet name="Solarertrag" sheetId="6" r:id="rId6"/>
  </sheets>
  <definedNames>
    <definedName name="_xlnm.Print_Area" localSheetId="2">'Berechnung'!$A$5:$U$28</definedName>
    <definedName name="Z_36051EDE_EE05_46A8_9481_5CD2E0A132E3_.wvu.Cols" localSheetId="1" hidden="1">'Parameter'!$I:$I</definedName>
  </definedNames>
  <calcPr fullCalcOnLoad="1"/>
</workbook>
</file>

<file path=xl/comments2.xml><?xml version="1.0" encoding="utf-8"?>
<comments xmlns="http://schemas.openxmlformats.org/spreadsheetml/2006/main">
  <authors>
    <author>Alfred K?rblein</author>
    <author>Alfred</author>
  </authors>
  <commentList>
    <comment ref="B50" authorId="0">
      <text>
        <r>
          <rPr>
            <b/>
            <sz val="9"/>
            <rFont val="Arial"/>
            <family val="2"/>
          </rPr>
          <t>Zinssatz, mit dem die jährlichen Erträge abgezinst (diskontiert) werden, um den Barwert zu ermitteln</t>
        </r>
      </text>
    </comment>
    <comment ref="B59" authorId="1">
      <text>
        <r>
          <rPr>
            <b/>
            <sz val="9"/>
            <rFont val="Arial"/>
            <family val="2"/>
          </rPr>
          <t>Im Jahr der Inbetriebnahme und in den 4 Folgejahren kann neben der linearen oder degressiven Abschreibung eine Sonderabschreibung in Höhe von insgesamt 20% vorgenommen werden.
Im Berechnungsblatt werden im Jahr der Inbetriebnahme 19% und  im 5. Jahr 1% abgeschrieben.</t>
        </r>
      </text>
    </comment>
    <comment ref="B58" authorId="1">
      <text>
        <r>
          <rPr>
            <b/>
            <sz val="9"/>
            <rFont val="Arial"/>
            <family val="2"/>
          </rPr>
          <t>Vor dem jeweiligen Jahr der Inbetriebnahme können im Jahr der Investitionsentscheidung (bei verbindlicher Bestellung der PV-Anlage, soweit ein Betrieb dafür erst gegründet wird) maximal 40% der Anschaffungskosten wie andere Aufwendungen steuermindernd geltend gemacht werden
(Investionsabzugsbetrag). Die Berechnung legt eine Inbetriebnahme im ersten Jahr, das auf das Jahr der Investitionsentscheidung folgt, zu Grunde. Spätestens im zweiten Folgejahr nach Bildung der 40% Rücklage muss die tatsächliche Investition/Inbetriebnahme erfolgen. 
Im Jahr der Inbetriebnahme (spätestens im zweiten Folgejahr nach Bildung der 40% Rücklage) werden diese 40% aber wieder gewinnerhöhend hinzugerechnet und müssen entsprechend versteuert werden. Der Investionsabzugsbetrag ist i.d.R. dann interessant, wenn das zu versteuernde Einkommen im Jahr der Investitionsentscheidung wesentlich höher ist als im Jahr der Inbetriebnahme.</t>
        </r>
      </text>
    </comment>
    <comment ref="B54" authorId="1">
      <text>
        <r>
          <rPr>
            <b/>
            <sz val="9"/>
            <rFont val="Arial"/>
            <family val="2"/>
          </rPr>
          <t>nur relevant bei  Direktnutzung des Solarstroms</t>
        </r>
      </text>
    </comment>
    <comment ref="B13" authorId="1">
      <text>
        <r>
          <rPr>
            <b/>
            <sz val="9"/>
            <rFont val="Arial"/>
            <family val="2"/>
          </rPr>
          <t xml:space="preserve">Berücksichtigt auch die Mehrwertsteuer! </t>
        </r>
      </text>
    </comment>
    <comment ref="B32" authorId="1">
      <text>
        <r>
          <rPr>
            <b/>
            <sz val="9"/>
            <rFont val="Tahoma"/>
            <family val="2"/>
          </rPr>
          <t>Bei einer Anlagenleistung &gt;500 kWp gibt es keine Vergütung für direkt geutzten Strom!</t>
        </r>
      </text>
    </comment>
    <comment ref="B20" authorId="1">
      <text>
        <r>
          <rPr>
            <b/>
            <sz val="9"/>
            <rFont val="Arial"/>
            <family val="2"/>
          </rPr>
          <t xml:space="preserve">z.B. für Planung und Zwischenfinanzierung der Mehrwertkosten
</t>
        </r>
      </text>
    </comment>
    <comment ref="B25" authorId="1">
      <text>
        <r>
          <rPr>
            <b/>
            <sz val="9"/>
            <rFont val="Arial"/>
            <family val="2"/>
          </rPr>
          <t>im Haus selbst verbrauchter, d.h. nicht ins Netz eingespeister Solarstrom (in % der PV-Produktion)</t>
        </r>
      </text>
    </comment>
    <comment ref="B55" authorId="1">
      <text>
        <r>
          <rPr>
            <b/>
            <sz val="9"/>
            <rFont val="Arial"/>
            <family val="2"/>
          </rPr>
          <t>0% eintragen, wenn der Anlagenbetreiber keine Umsatzsteuer zahlt.</t>
        </r>
        <r>
          <rPr>
            <sz val="9"/>
            <rFont val="Arial"/>
            <family val="2"/>
          </rPr>
          <t xml:space="preserve">
</t>
        </r>
      </text>
    </comment>
    <comment ref="B27" authorId="0">
      <text>
        <r>
          <rPr>
            <b/>
            <sz val="9"/>
            <rFont val="Arial"/>
            <family val="2"/>
          </rPr>
          <t>Unterstellt wird ein Inkrafttreten der neuen Vergütungen am 1. 4. 2012</t>
        </r>
        <r>
          <rPr>
            <sz val="9"/>
            <rFont val="Tahoma"/>
            <family val="2"/>
          </rPr>
          <t xml:space="preserve">
</t>
        </r>
      </text>
    </comment>
  </commentList>
</comments>
</file>

<file path=xl/sharedStrings.xml><?xml version="1.0" encoding="utf-8"?>
<sst xmlns="http://schemas.openxmlformats.org/spreadsheetml/2006/main" count="153" uniqueCount="124">
  <si>
    <t>Inflationsrate</t>
  </si>
  <si>
    <t>p.a.</t>
  </si>
  <si>
    <t>Jahr</t>
  </si>
  <si>
    <t>Zinsen</t>
  </si>
  <si>
    <t>Ergebnis</t>
  </si>
  <si>
    <t>Ergebnisse:</t>
  </si>
  <si>
    <t xml:space="preserve">Ergebnis </t>
  </si>
  <si>
    <t>steuerl.</t>
  </si>
  <si>
    <t>Jahres-</t>
  </si>
  <si>
    <t>Die Veränderung dieser Dateien und die Weiterverbreitung veränderter Kopien ist ausdrücklich untersagt.</t>
  </si>
  <si>
    <t>kWp</t>
  </si>
  <si>
    <t>laufende</t>
  </si>
  <si>
    <t>Kosten</t>
  </si>
  <si>
    <t>Anlagenleistung</t>
  </si>
  <si>
    <t>n. Steuer</t>
  </si>
  <si>
    <t xml:space="preserve">Barwert </t>
  </si>
  <si>
    <t>Restwert</t>
  </si>
  <si>
    <t>Restschuld</t>
  </si>
  <si>
    <t>€/kWp</t>
  </si>
  <si>
    <t>Tilgung</t>
  </si>
  <si>
    <t>Ertragsminderung pro Jahr</t>
  </si>
  <si>
    <t>€</t>
  </si>
  <si>
    <t>Der Blattschutz kann aufgehoben werden mit /Extras /Schutz /Blattschutz aufheben</t>
  </si>
  <si>
    <t>Hinweise:</t>
  </si>
  <si>
    <t>Steuerwirkung</t>
  </si>
  <si>
    <t>Jahre</t>
  </si>
  <si>
    <t>Kapitalwert</t>
  </si>
  <si>
    <t>Steuersatz (danach)</t>
  </si>
  <si>
    <t>Kosten der Anlage (ohne MWSt.)</t>
  </si>
  <si>
    <t>1. Darlehen</t>
  </si>
  <si>
    <t>2. Darlehen</t>
  </si>
  <si>
    <t>Alfred Körblein, Umweltinstitut München e.V.</t>
  </si>
  <si>
    <t>Anfangs-Eigenkapital</t>
  </si>
  <si>
    <t>spezifischer Stromertrag</t>
  </si>
  <si>
    <t>Annuität</t>
  </si>
  <si>
    <t>2. Darlehen (gleichbleibende Annuitäten)</t>
  </si>
  <si>
    <t xml:space="preserve">     Zinssatz</t>
  </si>
  <si>
    <t xml:space="preserve">     Auszahlung</t>
  </si>
  <si>
    <t xml:space="preserve">     Laufzeit</t>
  </si>
  <si>
    <t xml:space="preserve">     Tilgungsfreie Zeit</t>
  </si>
  <si>
    <t xml:space="preserve">     Bereitstellung</t>
  </si>
  <si>
    <t>AfA</t>
  </si>
  <si>
    <t xml:space="preserve">Die weissen Felder können beliebig verändert werden. Die anderen Felder sind gegen irrtümliches Überschreiben gesperrt. </t>
  </si>
  <si>
    <t xml:space="preserve">     Zinssatz (nominal)</t>
  </si>
  <si>
    <t>20% Sonderabschreibung? (ja/nein)</t>
  </si>
  <si>
    <t>Degressive Abschreibung? (ja/nein)</t>
  </si>
  <si>
    <t>Wirtschaftlichkeit von Solarstrom</t>
  </si>
  <si>
    <t>Strompreissteigerung</t>
  </si>
  <si>
    <t>PV-Anlage</t>
  </si>
  <si>
    <t>Finanzierung</t>
  </si>
  <si>
    <t xml:space="preserve">     Zinsbindung (5 / 10 Jahre)</t>
  </si>
  <si>
    <t>Sonstiges</t>
  </si>
  <si>
    <t>Zinssatz für Barwertermittlung (Diskontsatz)</t>
  </si>
  <si>
    <t>indiv. Steuersatz (in den ersten 10 Jahren)</t>
  </si>
  <si>
    <t xml:space="preserve">     Zinssatz nach Zinsbindung</t>
  </si>
  <si>
    <t>Die Exceltabelle wurde sorgfältig getestet. Dennoch kann für die Richtigkeit und die korrekte Funktion keine Gewähr übernommen werden.</t>
  </si>
  <si>
    <t>Dachmiete in % der Stromerlöse</t>
  </si>
  <si>
    <t>Dachmiete</t>
  </si>
  <si>
    <t>€    d.h.</t>
  </si>
  <si>
    <t>kWh/a</t>
  </si>
  <si>
    <t>Direkt-</t>
  </si>
  <si>
    <t>nutzung</t>
  </si>
  <si>
    <t>Kapitalwert (Gewinn bzw. Verlust)</t>
  </si>
  <si>
    <t>Einspeisevergütung (€/kWh)</t>
  </si>
  <si>
    <t>Vergütung für direkt genutzten Strom</t>
  </si>
  <si>
    <t>Investitionsabzug in % (max. 40%)</t>
  </si>
  <si>
    <t>SonderAfA</t>
  </si>
  <si>
    <t>Investabzug</t>
  </si>
  <si>
    <t>Januar</t>
  </si>
  <si>
    <t>Februar</t>
  </si>
  <si>
    <t>März</t>
  </si>
  <si>
    <t>April</t>
  </si>
  <si>
    <t>Mai</t>
  </si>
  <si>
    <t>Juni</t>
  </si>
  <si>
    <t>Juli</t>
  </si>
  <si>
    <t>August</t>
  </si>
  <si>
    <t>September</t>
  </si>
  <si>
    <t>Oktober</t>
  </si>
  <si>
    <t>November</t>
  </si>
  <si>
    <t>Dezember</t>
  </si>
  <si>
    <t xml:space="preserve">   anteiliger Solarertrag im Jahr der Inbetriebnahme</t>
  </si>
  <si>
    <t>nein</t>
  </si>
  <si>
    <t>http://re.jrc.ec.europa.eu/pvgis/apps3/pvest.php#</t>
  </si>
  <si>
    <t>€/kWh</t>
  </si>
  <si>
    <t>https://www.kfw-formularsammlung.de/KonditionenanzeigerINet/KonditionenAnzeiger</t>
  </si>
  <si>
    <t>&lt; 30%</t>
  </si>
  <si>
    <t>Falls Sie Fehler entdecken oder Verbesserungsvorschläge haben, wenden Sie sich bitte an Dr. Alfred Körblein, ak@umweltinstitut.org</t>
  </si>
  <si>
    <t>kWh/kWpa   siehe:</t>
  </si>
  <si>
    <t>&gt; 30%</t>
  </si>
  <si>
    <t>Direktnutzung</t>
  </si>
  <si>
    <t>MwSt-Satz (19% bzw. 0%)</t>
  </si>
  <si>
    <r>
      <t xml:space="preserve">erstellt von 
</t>
    </r>
    <r>
      <rPr>
        <b/>
        <sz val="11"/>
        <rFont val="Arial"/>
        <family val="2"/>
      </rPr>
      <t>Dr. Alfred Körblein</t>
    </r>
  </si>
  <si>
    <t>Umweltinstitut München e.V.
Landwehrstr. 64a
80336 München
Tel: 089/30 77 49 - 0
www.umweltinstitut.org</t>
  </si>
  <si>
    <t>Hier geht es zum Textbeitrag "Wirtschaftlichkeit von Photovoltaik-Anlagen" auf der Webseite des Umweltinstitut München e.V.</t>
  </si>
  <si>
    <t xml:space="preserve">Bei Nutzung der Excel-Tabelle durch Organisationen und für öffentliche oder gewerbliche Zwecke bitten wir um die Angabe der Quelle: Umweltinstitut München e.V. </t>
  </si>
  <si>
    <r>
      <t>Funktion und Ergebnis der Berechnungstabelle:</t>
    </r>
    <r>
      <rPr>
        <sz val="10"/>
        <rFont val="Arial"/>
        <family val="0"/>
      </rPr>
      <t xml:space="preserve">
Die Excel-Tabelle solarstrom.xls gestattet die Berechnung der Wirtschaftlichkeit von privaten Solarstrom-Anlagen (Photovoltaik-Anlagen) unter Berücksichtigung steuerlicher Aspekte. Die Mehrwertsteuer auf die Anschaffungskosten wird rückerstattet und wird deshalb in der Rechnung als durchlaufender Posten behandelt. Als Maß für die Wirtschaftlichkeit wird die mittlere Rendite (interner Zinsfuß) angegeben. 
Die jährlichen Erträge berechnen sich aus der Differenz von Einnahmen und Ausgaben. Die Einnahmen werden aus dem Stromverkauf erzielt, die Ausgaben errechnen sich aus den laufenden Kosten und dem Kapitaldienst. Beim letzteren wird vereinfachend angenommen, dass das Darlehen (z.B. von der KfW) entweder am Anfang oder in der Mitte des Jahres ausbezahlt wurde, abhängig davon, ob die PV-Anlage im ersten oder im zweiten Halbjahr in Betrieb geht.</t>
    </r>
  </si>
  <si>
    <r>
      <t xml:space="preserve">Der </t>
    </r>
    <r>
      <rPr>
        <b/>
        <sz val="10"/>
        <rFont val="Arial"/>
        <family val="2"/>
      </rPr>
      <t>Stromertrag</t>
    </r>
    <r>
      <rPr>
        <sz val="10"/>
        <rFont val="Arial"/>
        <family val="0"/>
      </rPr>
      <t xml:space="preserve"> unterliegt regionalen Unterschieden. Im Münchner Raum kann man von mindestens 900 kWh pro kWp installierter Leistung ausgehen. In den nördlicheren Regionen Deutschlands fällt der Ertrag deutlich (bis zu 20%) geringer aus.</t>
    </r>
  </si>
  <si>
    <r>
      <t xml:space="preserve">Die </t>
    </r>
    <r>
      <rPr>
        <b/>
        <sz val="10"/>
        <rFont val="Arial"/>
        <family val="2"/>
      </rPr>
      <t>Inflationsrate</t>
    </r>
    <r>
      <rPr>
        <sz val="10"/>
        <rFont val="Arial"/>
        <family val="0"/>
      </rPr>
      <t xml:space="preserve"> geht in die Rechnung ein, weil angenommen wird, dass die laufenden Kosten (Versicherung, Wartung) mit der Inflationsrate ansteigen.</t>
    </r>
  </si>
  <si>
    <r>
      <t>Achtung:</t>
    </r>
    <r>
      <rPr>
        <sz val="10"/>
        <rFont val="Arial"/>
        <family val="2"/>
      </rPr>
      <t xml:space="preserve"> Das Ergebnis für den internen Zinsfuß ist in einigen Fällen (z.B. wenn die Anlage weitgehend fremdfinanziert wird) unzuverlässig oder führt auf eine Fehlermeldung (#Div/0!). Ausschlaggebend ist dann der Kapitalwert, also die Summe der abgezinsten jährlichen Erträge. Ein positiver Kapitalwert bedeutet Gewinn, ein negativer Kapitalwert Verlust.</t>
    </r>
  </si>
  <si>
    <t>Fragen beantwortet Antje Wagner vom Umweltinstitut München e.V., 
Tel. 089-307749-0 bzw. aw@umweltinstitut.org</t>
  </si>
  <si>
    <t>Copyright  Dr. Alfred Körblein</t>
  </si>
  <si>
    <t>Monat der Inbetriebnahme (1-12)</t>
  </si>
  <si>
    <t>Strompreis im ersten Jahr (netto)</t>
  </si>
  <si>
    <t>Netzanschlusskosten</t>
  </si>
  <si>
    <t>Vorlaufkosten, u.a. Zwischenfinanzierung MwSt</t>
  </si>
  <si>
    <t>Jahr der Inbetriebnahme (2011/2012)</t>
  </si>
  <si>
    <t>Zinssatz bei Wiederanlage</t>
  </si>
  <si>
    <t>interner Zinsfuss (IRR)</t>
  </si>
  <si>
    <t>IRR=</t>
  </si>
  <si>
    <t>MIRR=</t>
  </si>
  <si>
    <r>
      <t>Zinsgünstige KfW-Kredite:</t>
    </r>
    <r>
      <rPr>
        <sz val="10"/>
        <rFont val="Arial"/>
        <family val="2"/>
      </rPr>
      <t xml:space="preserve">
Weiterhin stehen zinsvergünstigte Darlehen der Kreditanstalt für Wiederaufbau (KfW) zur Verfügung. Die Darlehen haben Laufzeiten von 5, 10 und 20 Jahren bei 1, 2 oder 3 tilgungsfreien Jahren. Die Zinsbindung beträgt 5 bzw. 10 Jahre. Die aktuellen Zinskonditionen können von der hompage der KfW heruntergeladen werden (Programmnummer 274).</t>
    </r>
  </si>
  <si>
    <t>Erzeugung</t>
  </si>
  <si>
    <t>laufende Kosten (in % der Kosten der PV-Anlage)</t>
  </si>
  <si>
    <t>EEG</t>
  </si>
  <si>
    <t>Vergütung</t>
  </si>
  <si>
    <t>entspr.</t>
  </si>
  <si>
    <t>ab 1.4.2012</t>
  </si>
  <si>
    <t>des erzeugten Solarstroms</t>
  </si>
  <si>
    <t>monatliche Vergütungsabsenkung ab 1.5.2012</t>
  </si>
  <si>
    <t>www.kfw.de</t>
  </si>
  <si>
    <t>Börsen-Strompreis</t>
  </si>
  <si>
    <t>Programm 274</t>
  </si>
  <si>
    <t>EEG Vergütung (ab 1.4.2012)</t>
  </si>
  <si>
    <t>Stand: 16.04.2012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</si>
</sst>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
    <numFmt numFmtId="174" formatCode="0.000"/>
    <numFmt numFmtId="175" formatCode="#,##0.0\ &quot;DM&quot;;[Red]\-#,##0.0\ &quot;DM&quot;"/>
    <numFmt numFmtId="176" formatCode="0.00000"/>
    <numFmt numFmtId="177" formatCode="0.0%"/>
    <numFmt numFmtId="178" formatCode="_-* #,##0.000\ _D_M_-;\-* #,##0.000\ _D_M_-;_-* &quot;-&quot;??\ _D_M_-;_-@_-"/>
    <numFmt numFmtId="179" formatCode="_-* #,##0.0000\ _D_M_-;\-* #,##0.0000\ _D_M_-;_-* &quot;-&quot;??\ _D_M_-;_-@_-"/>
    <numFmt numFmtId="180" formatCode="_-* #,##0.00000\ _D_M_-;\-* #,##0.00000\ _D_M_-;_-* &quot;-&quot;??\ _D_M_-;_-@_-"/>
    <numFmt numFmtId="181" formatCode="_-* #,##0.0\ _D_M_-;\-* #,##0.0\ _D_M_-;_-* &quot;-&quot;??\ _D_M_-;_-@_-"/>
    <numFmt numFmtId="182" formatCode="_-* #,##0\ _D_M_-;\-* #,##0\ _D_M_-;_-* &quot;-&quot;??\ _D_M_-;_-@_-"/>
    <numFmt numFmtId="183" formatCode="#,##0.0"/>
    <numFmt numFmtId="184" formatCode="#,##0.00\ &quot;DM&quot;"/>
    <numFmt numFmtId="185" formatCode="#,##0.000"/>
    <numFmt numFmtId="186" formatCode="#,##0.0000"/>
    <numFmt numFmtId="187" formatCode="&quot;Ja&quot;;&quot;Ja&quot;;&quot;Nein&quot;"/>
    <numFmt numFmtId="188" formatCode="&quot;Wahr&quot;;&quot;Wahr&quot;;&quot;Falsch&quot;"/>
    <numFmt numFmtId="189" formatCode="&quot;Ein&quot;;&quot;Ein&quot;;&quot;Aus&quot;"/>
  </numFmts>
  <fonts count="67">
    <font>
      <sz val="10"/>
      <name val="Arial"/>
      <family val="0"/>
    </font>
    <font>
      <b/>
      <sz val="10"/>
      <name val="Arial"/>
      <family val="0"/>
    </font>
    <font>
      <i/>
      <sz val="10"/>
      <name val="Arial"/>
      <family val="0"/>
    </font>
    <font>
      <b/>
      <i/>
      <sz val="10"/>
      <name val="Arial"/>
      <family val="0"/>
    </font>
    <font>
      <b/>
      <sz val="12"/>
      <color indexed="8"/>
      <name val="Arial"/>
      <family val="2"/>
    </font>
    <font>
      <sz val="10"/>
      <color indexed="8"/>
      <name val="Arial"/>
      <family val="2"/>
    </font>
    <font>
      <b/>
      <sz val="10"/>
      <color indexed="8"/>
      <name val="Arial"/>
      <family val="2"/>
    </font>
    <font>
      <b/>
      <sz val="10"/>
      <color indexed="10"/>
      <name val="Arial"/>
      <family val="2"/>
    </font>
    <font>
      <sz val="10"/>
      <color indexed="10"/>
      <name val="Arial"/>
      <family val="2"/>
    </font>
    <font>
      <sz val="9"/>
      <color indexed="8"/>
      <name val="Arial"/>
      <family val="2"/>
    </font>
    <font>
      <u val="single"/>
      <sz val="10"/>
      <color indexed="12"/>
      <name val="Arial"/>
      <family val="2"/>
    </font>
    <font>
      <u val="single"/>
      <sz val="8"/>
      <color indexed="36"/>
      <name val="Arial"/>
      <family val="2"/>
    </font>
    <font>
      <b/>
      <sz val="12"/>
      <name val="Arial"/>
      <family val="2"/>
    </font>
    <font>
      <b/>
      <sz val="9"/>
      <color indexed="8"/>
      <name val="Arial"/>
      <family val="2"/>
    </font>
    <font>
      <sz val="9"/>
      <name val="Arial"/>
      <family val="2"/>
    </font>
    <font>
      <sz val="10"/>
      <color indexed="55"/>
      <name val="Arial"/>
      <family val="2"/>
    </font>
    <font>
      <b/>
      <u val="single"/>
      <sz val="10"/>
      <color indexed="12"/>
      <name val="Arial"/>
      <family val="2"/>
    </font>
    <font>
      <sz val="9"/>
      <color indexed="10"/>
      <name val="Arial"/>
      <family val="2"/>
    </font>
    <font>
      <b/>
      <sz val="10"/>
      <color indexed="18"/>
      <name val="Arial"/>
      <family val="2"/>
    </font>
    <font>
      <sz val="10"/>
      <color indexed="18"/>
      <name val="Arial"/>
      <family val="2"/>
    </font>
    <font>
      <b/>
      <sz val="9"/>
      <name val="Tahoma"/>
      <family val="2"/>
    </font>
    <font>
      <sz val="10"/>
      <color indexed="23"/>
      <name val="Arial"/>
      <family val="2"/>
    </font>
    <font>
      <b/>
      <sz val="12"/>
      <color indexed="23"/>
      <name val="Arial"/>
      <family val="2"/>
    </font>
    <font>
      <b/>
      <sz val="10"/>
      <color indexed="23"/>
      <name val="Arial"/>
      <family val="2"/>
    </font>
    <font>
      <sz val="9"/>
      <color indexed="23"/>
      <name val="Arial"/>
      <family val="2"/>
    </font>
    <font>
      <b/>
      <sz val="14"/>
      <name val="Arial"/>
      <family val="2"/>
    </font>
    <font>
      <sz val="14"/>
      <name val="Arial"/>
      <family val="2"/>
    </font>
    <font>
      <b/>
      <sz val="11"/>
      <name val="Arial"/>
      <family val="2"/>
    </font>
    <font>
      <sz val="9"/>
      <name val="Tahoma"/>
      <family val="2"/>
    </font>
    <font>
      <b/>
      <sz val="9"/>
      <name val="Arial"/>
      <family val="2"/>
    </font>
    <font>
      <sz val="8"/>
      <color indexed="8"/>
      <name val="Arial"/>
      <family val="0"/>
    </font>
    <font>
      <sz val="9.5"/>
      <color indexed="8"/>
      <name val="Arial"/>
      <family val="0"/>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1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10"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45">
    <xf numFmtId="0" fontId="0" fillId="0" borderId="0" xfId="0" applyAlignment="1">
      <alignment/>
    </xf>
    <xf numFmtId="0" fontId="0" fillId="0" borderId="0" xfId="0" applyAlignment="1">
      <alignment wrapText="1"/>
    </xf>
    <xf numFmtId="3" fontId="9" fillId="0" borderId="0" xfId="0" applyNumberFormat="1" applyFont="1" applyAlignment="1">
      <alignment horizontal="right"/>
    </xf>
    <xf numFmtId="0" fontId="14" fillId="0" borderId="0" xfId="0" applyFont="1" applyAlignment="1">
      <alignment/>
    </xf>
    <xf numFmtId="3" fontId="14" fillId="0" borderId="0" xfId="0" applyNumberFormat="1" applyFont="1" applyAlignment="1">
      <alignment/>
    </xf>
    <xf numFmtId="3" fontId="14" fillId="0" borderId="0" xfId="0" applyNumberFormat="1" applyFont="1" applyAlignment="1">
      <alignment horizontal="right"/>
    </xf>
    <xf numFmtId="3" fontId="0" fillId="0" borderId="0" xfId="0" applyNumberFormat="1" applyAlignment="1">
      <alignment/>
    </xf>
    <xf numFmtId="0" fontId="1" fillId="0" borderId="0" xfId="0" applyFont="1" applyAlignment="1">
      <alignment wrapText="1"/>
    </xf>
    <xf numFmtId="0" fontId="0" fillId="33" borderId="0" xfId="0" applyFill="1" applyAlignment="1">
      <alignment/>
    </xf>
    <xf numFmtId="4" fontId="4" fillId="33" borderId="0" xfId="0" applyNumberFormat="1" applyFont="1" applyFill="1" applyAlignment="1">
      <alignment horizontal="right"/>
    </xf>
    <xf numFmtId="4" fontId="4" fillId="33" borderId="0" xfId="0" applyNumberFormat="1" applyFont="1" applyFill="1" applyAlignment="1">
      <alignment horizontal="center"/>
    </xf>
    <xf numFmtId="4" fontId="9" fillId="33" borderId="0" xfId="0" applyNumberFormat="1" applyFont="1" applyFill="1" applyAlignment="1">
      <alignment horizontal="right"/>
    </xf>
    <xf numFmtId="4" fontId="9" fillId="33" borderId="0" xfId="0" applyNumberFormat="1" applyFont="1" applyFill="1" applyAlignment="1">
      <alignment horizontal="center"/>
    </xf>
    <xf numFmtId="4" fontId="5" fillId="33" borderId="0" xfId="0" applyNumberFormat="1" applyFont="1" applyFill="1" applyAlignment="1">
      <alignment horizontal="center"/>
    </xf>
    <xf numFmtId="4" fontId="5" fillId="33" borderId="0" xfId="0" applyNumberFormat="1" applyFont="1" applyFill="1" applyAlignment="1">
      <alignment horizontal="right"/>
    </xf>
    <xf numFmtId="186" fontId="15" fillId="33" borderId="0" xfId="0" applyNumberFormat="1" applyFont="1" applyFill="1" applyAlignment="1" applyProtection="1">
      <alignment horizontal="right"/>
      <protection/>
    </xf>
    <xf numFmtId="0" fontId="12" fillId="33" borderId="0" xfId="0" applyFont="1" applyFill="1" applyAlignment="1">
      <alignment/>
    </xf>
    <xf numFmtId="3" fontId="18" fillId="33" borderId="0" xfId="0" applyNumberFormat="1" applyFont="1" applyFill="1" applyAlignment="1" applyProtection="1">
      <alignment horizontal="left"/>
      <protection/>
    </xf>
    <xf numFmtId="3" fontId="19" fillId="33" borderId="0" xfId="0" applyNumberFormat="1" applyFont="1" applyFill="1" applyAlignment="1" applyProtection="1">
      <alignment horizontal="left"/>
      <protection/>
    </xf>
    <xf numFmtId="4" fontId="19" fillId="33" borderId="0" xfId="0" applyNumberFormat="1" applyFont="1" applyFill="1" applyAlignment="1" applyProtection="1">
      <alignment horizontal="right"/>
      <protection/>
    </xf>
    <xf numFmtId="4" fontId="19" fillId="33" borderId="0" xfId="0" applyNumberFormat="1" applyFont="1" applyFill="1" applyAlignment="1" applyProtection="1">
      <alignment horizontal="center"/>
      <protection/>
    </xf>
    <xf numFmtId="0" fontId="0" fillId="0" borderId="0" xfId="0" applyFont="1" applyAlignment="1">
      <alignment/>
    </xf>
    <xf numFmtId="0" fontId="1" fillId="33" borderId="0" xfId="0" applyFont="1" applyFill="1" applyAlignment="1">
      <alignment/>
    </xf>
    <xf numFmtId="0" fontId="0" fillId="33" borderId="0" xfId="0" applyFont="1" applyFill="1" applyAlignment="1">
      <alignment/>
    </xf>
    <xf numFmtId="3" fontId="19" fillId="33" borderId="0" xfId="0" applyNumberFormat="1" applyFont="1" applyFill="1" applyAlignment="1" applyProtection="1">
      <alignment horizontal="center"/>
      <protection/>
    </xf>
    <xf numFmtId="186" fontId="5" fillId="33" borderId="0" xfId="0" applyNumberFormat="1" applyFont="1" applyFill="1" applyAlignment="1" applyProtection="1">
      <alignment horizontal="right"/>
      <protection/>
    </xf>
    <xf numFmtId="3" fontId="19" fillId="33" borderId="0" xfId="0" applyNumberFormat="1" applyFont="1" applyFill="1" applyAlignment="1" applyProtection="1">
      <alignment horizontal="right"/>
      <protection/>
    </xf>
    <xf numFmtId="3" fontId="6"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Alignment="1">
      <alignment horizontal="left"/>
    </xf>
    <xf numFmtId="4" fontId="6"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right"/>
    </xf>
    <xf numFmtId="4" fontId="6" fillId="0" borderId="0" xfId="0" applyNumberFormat="1" applyFont="1" applyAlignment="1">
      <alignment horizontal="left"/>
    </xf>
    <xf numFmtId="4" fontId="5" fillId="0" borderId="0" xfId="0" applyNumberFormat="1" applyFont="1" applyAlignment="1">
      <alignment horizontal="center"/>
    </xf>
    <xf numFmtId="3" fontId="0" fillId="0" borderId="0" xfId="0" applyNumberFormat="1" applyFont="1" applyAlignment="1">
      <alignment/>
    </xf>
    <xf numFmtId="177" fontId="0" fillId="0" borderId="0" xfId="51" applyNumberFormat="1" applyFont="1" applyAlignment="1">
      <alignment/>
    </xf>
    <xf numFmtId="186" fontId="21" fillId="33" borderId="0" xfId="0" applyNumberFormat="1" applyFont="1" applyFill="1" applyAlignment="1" applyProtection="1">
      <alignment horizontal="right"/>
      <protection/>
    </xf>
    <xf numFmtId="0" fontId="12" fillId="33" borderId="0" xfId="0" applyFont="1" applyFill="1" applyAlignment="1" applyProtection="1">
      <alignment/>
      <protection/>
    </xf>
    <xf numFmtId="0" fontId="12" fillId="33" borderId="0" xfId="0" applyFont="1" applyFill="1" applyAlignment="1" applyProtection="1">
      <alignment horizontal="right"/>
      <protection/>
    </xf>
    <xf numFmtId="0" fontId="12" fillId="33" borderId="0" xfId="0" applyFont="1" applyFill="1" applyAlignment="1" applyProtection="1">
      <alignment horizontal="center"/>
      <protection/>
    </xf>
    <xf numFmtId="4" fontId="4" fillId="33" borderId="0" xfId="0" applyNumberFormat="1" applyFont="1" applyFill="1" applyAlignment="1" applyProtection="1">
      <alignment horizontal="right"/>
      <protection/>
    </xf>
    <xf numFmtId="0" fontId="1" fillId="33" borderId="0" xfId="0" applyFont="1" applyFill="1" applyAlignment="1" applyProtection="1">
      <alignment/>
      <protection/>
    </xf>
    <xf numFmtId="0" fontId="1" fillId="33" borderId="0" xfId="0" applyFont="1" applyFill="1" applyAlignment="1" applyProtection="1">
      <alignment horizontal="right"/>
      <protection/>
    </xf>
    <xf numFmtId="0" fontId="1" fillId="33" borderId="0" xfId="0" applyFont="1" applyFill="1" applyAlignment="1" applyProtection="1">
      <alignment horizontal="center"/>
      <protection/>
    </xf>
    <xf numFmtId="4" fontId="13" fillId="33" borderId="0" xfId="0" applyNumberFormat="1" applyFont="1" applyFill="1" applyAlignment="1" applyProtection="1">
      <alignment horizontal="right"/>
      <protection/>
    </xf>
    <xf numFmtId="0" fontId="0" fillId="33" borderId="0" xfId="0" applyFill="1" applyAlignment="1" applyProtection="1">
      <alignment/>
      <protection/>
    </xf>
    <xf numFmtId="0" fontId="0" fillId="33" borderId="0" xfId="0" applyFill="1" applyAlignment="1" applyProtection="1">
      <alignment horizontal="right"/>
      <protection/>
    </xf>
    <xf numFmtId="0" fontId="0" fillId="33" borderId="0" xfId="0" applyFill="1" applyAlignment="1" applyProtection="1">
      <alignment horizontal="center"/>
      <protection/>
    </xf>
    <xf numFmtId="4" fontId="9" fillId="33" borderId="0" xfId="0" applyNumberFormat="1" applyFont="1" applyFill="1" applyAlignment="1" applyProtection="1">
      <alignment horizontal="right"/>
      <protection/>
    </xf>
    <xf numFmtId="4" fontId="9" fillId="33" borderId="0" xfId="0" applyNumberFormat="1" applyFont="1" applyFill="1" applyAlignment="1" applyProtection="1">
      <alignment horizontal="center"/>
      <protection/>
    </xf>
    <xf numFmtId="3" fontId="6" fillId="33" borderId="0" xfId="0" applyNumberFormat="1" applyFont="1" applyFill="1" applyAlignment="1" applyProtection="1">
      <alignment horizontal="left"/>
      <protection/>
    </xf>
    <xf numFmtId="3" fontId="6" fillId="33" borderId="0" xfId="51" applyNumberFormat="1" applyFont="1" applyFill="1" applyAlignment="1" applyProtection="1">
      <alignment horizontal="right"/>
      <protection/>
    </xf>
    <xf numFmtId="4" fontId="6" fillId="33" borderId="0" xfId="0" applyNumberFormat="1" applyFont="1" applyFill="1" applyAlignment="1" applyProtection="1">
      <alignment horizontal="left"/>
      <protection/>
    </xf>
    <xf numFmtId="4" fontId="6" fillId="33" borderId="0" xfId="0" applyNumberFormat="1" applyFont="1" applyFill="1" applyAlignment="1" applyProtection="1">
      <alignment horizontal="right"/>
      <protection/>
    </xf>
    <xf numFmtId="4" fontId="5" fillId="33" borderId="0" xfId="0" applyNumberFormat="1" applyFont="1" applyFill="1" applyAlignment="1" applyProtection="1">
      <alignment horizontal="center"/>
      <protection/>
    </xf>
    <xf numFmtId="4" fontId="6" fillId="33" borderId="0" xfId="0" applyNumberFormat="1" applyFont="1" applyFill="1" applyAlignment="1" applyProtection="1">
      <alignment horizontal="center"/>
      <protection/>
    </xf>
    <xf numFmtId="4" fontId="5" fillId="33" borderId="0" xfId="0" applyNumberFormat="1" applyFont="1" applyFill="1" applyAlignment="1" applyProtection="1">
      <alignment horizontal="right"/>
      <protection/>
    </xf>
    <xf numFmtId="3" fontId="5" fillId="33" borderId="0" xfId="0" applyNumberFormat="1" applyFont="1" applyFill="1" applyAlignment="1" applyProtection="1">
      <alignment horizontal="left"/>
      <protection/>
    </xf>
    <xf numFmtId="4" fontId="5" fillId="33" borderId="0" xfId="0" applyNumberFormat="1" applyFont="1" applyFill="1" applyAlignment="1" applyProtection="1">
      <alignment horizontal="left"/>
      <protection/>
    </xf>
    <xf numFmtId="3" fontId="5" fillId="33" borderId="0" xfId="0" applyNumberFormat="1" applyFont="1" applyFill="1" applyAlignment="1" applyProtection="1">
      <alignment horizontal="center"/>
      <protection/>
    </xf>
    <xf numFmtId="3" fontId="5" fillId="33" borderId="0" xfId="0" applyNumberFormat="1" applyFont="1" applyFill="1" applyAlignment="1" applyProtection="1">
      <alignment horizontal="right"/>
      <protection/>
    </xf>
    <xf numFmtId="4" fontId="5" fillId="33" borderId="0" xfId="0" applyNumberFormat="1" applyFont="1" applyFill="1" applyAlignment="1" applyProtection="1">
      <alignment/>
      <protection/>
    </xf>
    <xf numFmtId="9" fontId="5" fillId="33" borderId="0" xfId="51" applyFont="1" applyFill="1" applyAlignment="1" applyProtection="1">
      <alignment horizontal="center"/>
      <protection/>
    </xf>
    <xf numFmtId="1" fontId="21" fillId="33" borderId="0" xfId="0" applyNumberFormat="1" applyFont="1" applyFill="1" applyAlignment="1" applyProtection="1">
      <alignment horizontal="right"/>
      <protection/>
    </xf>
    <xf numFmtId="3" fontId="9" fillId="33" borderId="0" xfId="0" applyNumberFormat="1" applyFont="1" applyFill="1" applyAlignment="1" applyProtection="1">
      <alignment horizontal="left"/>
      <protection/>
    </xf>
    <xf numFmtId="4" fontId="9" fillId="33" borderId="0" xfId="0" applyNumberFormat="1" applyFont="1" applyFill="1" applyAlignment="1" applyProtection="1">
      <alignment horizontal="left"/>
      <protection/>
    </xf>
    <xf numFmtId="4" fontId="9" fillId="33" borderId="0" xfId="0" applyNumberFormat="1" applyFont="1" applyFill="1" applyBorder="1" applyAlignment="1" applyProtection="1">
      <alignment horizontal="right"/>
      <protection/>
    </xf>
    <xf numFmtId="4" fontId="8" fillId="33" borderId="0" xfId="0" applyNumberFormat="1" applyFont="1" applyFill="1" applyAlignment="1" applyProtection="1">
      <alignment horizontal="right"/>
      <protection/>
    </xf>
    <xf numFmtId="4" fontId="8" fillId="33" borderId="0" xfId="0" applyNumberFormat="1" applyFont="1" applyFill="1" applyAlignment="1" applyProtection="1">
      <alignment horizontal="center"/>
      <protection/>
    </xf>
    <xf numFmtId="4" fontId="17" fillId="33" borderId="0" xfId="0" applyNumberFormat="1" applyFont="1" applyFill="1" applyAlignment="1" applyProtection="1">
      <alignment horizontal="right"/>
      <protection/>
    </xf>
    <xf numFmtId="185" fontId="17" fillId="33" borderId="0" xfId="0" applyNumberFormat="1" applyFont="1" applyFill="1" applyAlignment="1" applyProtection="1">
      <alignment horizontal="right"/>
      <protection/>
    </xf>
    <xf numFmtId="4" fontId="17" fillId="33" borderId="0" xfId="0" applyNumberFormat="1" applyFont="1" applyFill="1" applyAlignment="1" applyProtection="1">
      <alignment horizontal="center"/>
      <protection/>
    </xf>
    <xf numFmtId="177" fontId="5" fillId="33" borderId="0" xfId="51" applyNumberFormat="1" applyFont="1" applyFill="1" applyAlignment="1" applyProtection="1">
      <alignment horizontal="center"/>
      <protection/>
    </xf>
    <xf numFmtId="0" fontId="0" fillId="0" borderId="0" xfId="0" applyFont="1" applyAlignment="1">
      <alignment/>
    </xf>
    <xf numFmtId="177" fontId="0" fillId="0" borderId="0" xfId="0" applyNumberFormat="1" applyFont="1" applyAlignment="1">
      <alignment/>
    </xf>
    <xf numFmtId="177" fontId="0" fillId="0" borderId="10" xfId="0" applyNumberFormat="1" applyFont="1" applyBorder="1" applyAlignment="1">
      <alignment/>
    </xf>
    <xf numFmtId="0" fontId="22" fillId="33" borderId="0" xfId="0" applyFont="1" applyFill="1" applyAlignment="1">
      <alignment/>
    </xf>
    <xf numFmtId="0" fontId="21" fillId="33" borderId="0" xfId="0" applyFont="1" applyFill="1" applyAlignment="1">
      <alignment/>
    </xf>
    <xf numFmtId="3" fontId="23" fillId="0" borderId="0" xfId="0" applyNumberFormat="1" applyFont="1" applyAlignment="1">
      <alignment/>
    </xf>
    <xf numFmtId="3" fontId="21" fillId="0" borderId="0" xfId="0" applyNumberFormat="1" applyFont="1" applyAlignment="1">
      <alignment/>
    </xf>
    <xf numFmtId="3" fontId="21" fillId="0" borderId="0" xfId="0" applyNumberFormat="1" applyFont="1" applyAlignment="1">
      <alignment horizontal="right"/>
    </xf>
    <xf numFmtId="3" fontId="21" fillId="0" borderId="0" xfId="0" applyNumberFormat="1" applyFont="1" applyAlignment="1">
      <alignment/>
    </xf>
    <xf numFmtId="3" fontId="24" fillId="0" borderId="0" xfId="0" applyNumberFormat="1" applyFont="1" applyAlignment="1">
      <alignment/>
    </xf>
    <xf numFmtId="4" fontId="22" fillId="33" borderId="0" xfId="0" applyNumberFormat="1" applyFont="1" applyFill="1" applyAlignment="1">
      <alignment horizontal="right"/>
    </xf>
    <xf numFmtId="4" fontId="21" fillId="33" borderId="0" xfId="0" applyNumberFormat="1" applyFont="1" applyFill="1" applyAlignment="1">
      <alignment horizontal="right"/>
    </xf>
    <xf numFmtId="4" fontId="24" fillId="33" borderId="0" xfId="0" applyNumberFormat="1" applyFont="1" applyFill="1" applyAlignment="1">
      <alignment horizontal="right"/>
    </xf>
    <xf numFmtId="4" fontId="10" fillId="33" borderId="0" xfId="48" applyNumberFormat="1" applyFill="1" applyAlignment="1" applyProtection="1">
      <alignment horizontal="left"/>
      <protection/>
    </xf>
    <xf numFmtId="1" fontId="21" fillId="33" borderId="0" xfId="0" applyNumberFormat="1" applyFont="1" applyFill="1" applyAlignment="1" applyProtection="1">
      <alignment horizontal="left"/>
      <protection/>
    </xf>
    <xf numFmtId="177" fontId="5" fillId="33" borderId="0" xfId="0" applyNumberFormat="1" applyFont="1" applyFill="1" applyAlignment="1">
      <alignment horizontal="center"/>
    </xf>
    <xf numFmtId="0" fontId="25" fillId="34" borderId="0" xfId="0" applyFont="1" applyFill="1" applyBorder="1" applyAlignment="1">
      <alignment vertical="top"/>
    </xf>
    <xf numFmtId="0" fontId="26" fillId="0" borderId="0" xfId="0" applyFont="1" applyFill="1" applyAlignment="1">
      <alignment/>
    </xf>
    <xf numFmtId="0" fontId="1" fillId="0" borderId="0" xfId="0" applyFont="1" applyFill="1" applyBorder="1" applyAlignment="1">
      <alignment wrapText="1"/>
    </xf>
    <xf numFmtId="0" fontId="0" fillId="0" borderId="0" xfId="0" applyFont="1" applyFill="1" applyAlignment="1">
      <alignment/>
    </xf>
    <xf numFmtId="4" fontId="5" fillId="0" borderId="0" xfId="0" applyNumberFormat="1" applyFont="1" applyFill="1" applyAlignment="1">
      <alignment horizontal="right"/>
    </xf>
    <xf numFmtId="4" fontId="5" fillId="0" borderId="0" xfId="0" applyNumberFormat="1" applyFont="1" applyFill="1" applyAlignment="1">
      <alignment horizontal="center"/>
    </xf>
    <xf numFmtId="0" fontId="1" fillId="0" borderId="0" xfId="0" applyFont="1" applyFill="1" applyBorder="1" applyAlignment="1">
      <alignment horizontal="right" wrapText="1"/>
    </xf>
    <xf numFmtId="3" fontId="16" fillId="0" borderId="0" xfId="48" applyNumberFormat="1" applyFont="1" applyFill="1" applyBorder="1" applyAlignment="1" applyProtection="1">
      <alignment horizontal="left" wrapText="1"/>
      <protection/>
    </xf>
    <xf numFmtId="0" fontId="0" fillId="0" borderId="0" xfId="0" applyFill="1" applyAlignment="1">
      <alignment/>
    </xf>
    <xf numFmtId="0" fontId="1" fillId="0" borderId="0" xfId="0" applyFont="1" applyAlignment="1">
      <alignment/>
    </xf>
    <xf numFmtId="0" fontId="10" fillId="0" borderId="0" xfId="48" applyAlignment="1" applyProtection="1">
      <alignment/>
      <protection/>
    </xf>
    <xf numFmtId="0" fontId="2" fillId="0" borderId="0" xfId="0" applyFont="1" applyBorder="1" applyAlignment="1">
      <alignment horizontal="justify" wrapText="1"/>
    </xf>
    <xf numFmtId="0" fontId="0" fillId="0" borderId="0" xfId="0" applyBorder="1" applyAlignment="1">
      <alignment horizontal="justify" wrapText="1"/>
    </xf>
    <xf numFmtId="0" fontId="0" fillId="0" borderId="0" xfId="0" applyBorder="1" applyAlignment="1">
      <alignment wrapText="1"/>
    </xf>
    <xf numFmtId="4" fontId="4" fillId="0" borderId="0" xfId="0" applyNumberFormat="1" applyFont="1" applyFill="1" applyAlignment="1" applyProtection="1">
      <alignment horizontal="right"/>
      <protection/>
    </xf>
    <xf numFmtId="4" fontId="4" fillId="0" borderId="0" xfId="0" applyNumberFormat="1" applyFont="1" applyFill="1" applyAlignment="1" applyProtection="1">
      <alignment horizontal="center"/>
      <protection/>
    </xf>
    <xf numFmtId="4" fontId="13" fillId="0" borderId="0" xfId="0" applyNumberFormat="1" applyFont="1" applyFill="1" applyAlignment="1" applyProtection="1">
      <alignment horizontal="right"/>
      <protection/>
    </xf>
    <xf numFmtId="4" fontId="13" fillId="0" borderId="0" xfId="0" applyNumberFormat="1" applyFont="1" applyFill="1" applyAlignment="1" applyProtection="1">
      <alignment horizontal="center"/>
      <protection/>
    </xf>
    <xf numFmtId="4" fontId="9" fillId="0" borderId="0" xfId="0" applyNumberFormat="1" applyFont="1" applyFill="1" applyAlignment="1" applyProtection="1">
      <alignment horizontal="right"/>
      <protection/>
    </xf>
    <xf numFmtId="4" fontId="9" fillId="0" borderId="0" xfId="0" applyNumberFormat="1" applyFont="1" applyFill="1" applyAlignment="1" applyProtection="1">
      <alignment horizontal="center"/>
      <protection/>
    </xf>
    <xf numFmtId="3" fontId="19" fillId="0" borderId="0" xfId="0" applyNumberFormat="1" applyFont="1" applyFill="1" applyAlignment="1" applyProtection="1">
      <alignment horizontal="left"/>
      <protection/>
    </xf>
    <xf numFmtId="4" fontId="19" fillId="0" borderId="0" xfId="0" applyNumberFormat="1" applyFont="1" applyFill="1" applyAlignment="1" applyProtection="1">
      <alignment horizontal="center"/>
      <protection/>
    </xf>
    <xf numFmtId="4" fontId="6" fillId="0" borderId="0" xfId="0" applyNumberFormat="1" applyFont="1" applyFill="1" applyAlignment="1" applyProtection="1">
      <alignment horizontal="right"/>
      <protection/>
    </xf>
    <xf numFmtId="4" fontId="5" fillId="0" borderId="0" xfId="0" applyNumberFormat="1" applyFont="1" applyFill="1" applyAlignment="1" applyProtection="1">
      <alignment horizontal="right"/>
      <protection/>
    </xf>
    <xf numFmtId="4" fontId="6" fillId="0" borderId="0" xfId="0" applyNumberFormat="1" applyFont="1" applyFill="1" applyAlignment="1" applyProtection="1">
      <alignment horizontal="center"/>
      <protection/>
    </xf>
    <xf numFmtId="4" fontId="5" fillId="0" borderId="0" xfId="0" applyNumberFormat="1" applyFont="1" applyFill="1" applyAlignment="1" applyProtection="1">
      <alignment horizontal="center"/>
      <protection/>
    </xf>
    <xf numFmtId="3" fontId="5" fillId="0" borderId="0" xfId="0" applyNumberFormat="1" applyFont="1" applyFill="1" applyAlignment="1" applyProtection="1">
      <alignment/>
      <protection/>
    </xf>
    <xf numFmtId="9" fontId="5" fillId="0" borderId="0" xfId="0" applyNumberFormat="1" applyFont="1" applyFill="1" applyAlignment="1" applyProtection="1">
      <alignment/>
      <protection/>
    </xf>
    <xf numFmtId="177" fontId="8" fillId="0" borderId="0" xfId="0" applyNumberFormat="1" applyFont="1" applyFill="1" applyAlignment="1" applyProtection="1">
      <alignment/>
      <protection/>
    </xf>
    <xf numFmtId="177" fontId="5" fillId="0" borderId="0" xfId="0" applyNumberFormat="1" applyFont="1" applyFill="1" applyAlignment="1" applyProtection="1">
      <alignment/>
      <protection/>
    </xf>
    <xf numFmtId="4" fontId="17" fillId="0" borderId="0" xfId="0" applyNumberFormat="1" applyFont="1" applyFill="1" applyAlignment="1" applyProtection="1">
      <alignment horizontal="right"/>
      <protection/>
    </xf>
    <xf numFmtId="4" fontId="17" fillId="0" borderId="0" xfId="0" applyNumberFormat="1" applyFont="1" applyFill="1" applyAlignment="1" applyProtection="1">
      <alignment horizontal="center"/>
      <protection/>
    </xf>
    <xf numFmtId="9" fontId="21" fillId="33" borderId="0" xfId="51" applyFont="1" applyFill="1" applyAlignment="1" applyProtection="1">
      <alignment horizontal="left"/>
      <protection/>
    </xf>
    <xf numFmtId="4" fontId="8" fillId="33" borderId="0" xfId="0" applyNumberFormat="1" applyFont="1" applyFill="1" applyAlignment="1" applyProtection="1">
      <alignment horizontal="left"/>
      <protection/>
    </xf>
    <xf numFmtId="0" fontId="0" fillId="0" borderId="11" xfId="0" applyFont="1" applyBorder="1" applyAlignment="1">
      <alignment wrapText="1"/>
    </xf>
    <xf numFmtId="0" fontId="1" fillId="0" borderId="11" xfId="0" applyFont="1" applyBorder="1" applyAlignment="1">
      <alignment horizontal="justify" wrapText="1"/>
    </xf>
    <xf numFmtId="0" fontId="0" fillId="0" borderId="11" xfId="0" applyBorder="1" applyAlignment="1">
      <alignment horizontal="justify" wrapText="1"/>
    </xf>
    <xf numFmtId="0" fontId="10" fillId="0" borderId="11" xfId="48" applyBorder="1" applyAlignment="1" applyProtection="1">
      <alignment horizontal="justify" wrapText="1"/>
      <protection/>
    </xf>
    <xf numFmtId="0" fontId="1" fillId="0" borderId="11" xfId="0" applyFont="1" applyFill="1" applyBorder="1" applyAlignment="1">
      <alignment horizontal="justify" wrapText="1"/>
    </xf>
    <xf numFmtId="0" fontId="0" fillId="0" borderId="11" xfId="0" applyFont="1" applyBorder="1" applyAlignment="1">
      <alignment horizontal="justify" wrapText="1"/>
    </xf>
    <xf numFmtId="183" fontId="5" fillId="0" borderId="11" xfId="0"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177" fontId="5" fillId="0" borderId="11" xfId="51" applyNumberFormat="1" applyFont="1" applyFill="1" applyBorder="1" applyAlignment="1" applyProtection="1">
      <alignment horizontal="right"/>
      <protection locked="0"/>
    </xf>
    <xf numFmtId="9" fontId="5" fillId="0" borderId="11" xfId="51" applyNumberFormat="1" applyFont="1" applyFill="1" applyBorder="1" applyAlignment="1" applyProtection="1">
      <alignment horizontal="right"/>
      <protection locked="0"/>
    </xf>
    <xf numFmtId="10" fontId="5" fillId="0" borderId="11" xfId="51" applyNumberFormat="1" applyFont="1" applyFill="1" applyBorder="1" applyAlignment="1" applyProtection="1">
      <alignment horizontal="right"/>
      <protection locked="0"/>
    </xf>
    <xf numFmtId="1" fontId="5" fillId="0" borderId="11" xfId="51" applyNumberFormat="1" applyFont="1" applyFill="1" applyBorder="1" applyAlignment="1" applyProtection="1">
      <alignment horizontal="right"/>
      <protection locked="0"/>
    </xf>
    <xf numFmtId="9" fontId="5" fillId="0" borderId="11" xfId="51" applyFont="1" applyFill="1" applyBorder="1" applyAlignment="1" applyProtection="1">
      <alignment horizontal="right"/>
      <protection locked="0"/>
    </xf>
    <xf numFmtId="177" fontId="7" fillId="33" borderId="11" xfId="51" applyNumberFormat="1" applyFont="1" applyFill="1" applyBorder="1" applyAlignment="1" applyProtection="1">
      <alignment horizontal="right"/>
      <protection/>
    </xf>
    <xf numFmtId="3" fontId="6" fillId="33" borderId="11" xfId="51" applyNumberFormat="1" applyFont="1" applyFill="1" applyBorder="1" applyAlignment="1" applyProtection="1">
      <alignment horizontal="right"/>
      <protection/>
    </xf>
    <xf numFmtId="186" fontId="9" fillId="33" borderId="0" xfId="0" applyNumberFormat="1" applyFont="1" applyFill="1" applyAlignment="1" applyProtection="1">
      <alignment horizontal="center"/>
      <protection/>
    </xf>
    <xf numFmtId="3" fontId="21" fillId="0" borderId="0" xfId="0" applyNumberFormat="1" applyFont="1" applyAlignment="1">
      <alignment/>
    </xf>
    <xf numFmtId="9" fontId="21" fillId="0" borderId="0" xfId="51" applyFont="1" applyAlignment="1">
      <alignment/>
    </xf>
    <xf numFmtId="49" fontId="21" fillId="33" borderId="0" xfId="0" applyNumberFormat="1" applyFont="1" applyFill="1" applyAlignment="1" applyProtection="1">
      <alignment horizontal="left"/>
      <protection/>
    </xf>
    <xf numFmtId="9" fontId="5" fillId="33" borderId="0" xfId="0" applyNumberFormat="1" applyFont="1" applyFill="1" applyAlignment="1">
      <alignment horizontal="right"/>
    </xf>
    <xf numFmtId="185" fontId="5" fillId="0" borderId="11" xfId="0" applyNumberFormat="1" applyFont="1" applyFill="1" applyBorder="1" applyAlignment="1" applyProtection="1">
      <alignment horizontal="right"/>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575"/>
          <c:w val="0.91575"/>
          <c:h val="0.8822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Berechnung!$T$7:$T$28</c:f>
              <c:numCache>
                <c:ptCount val="22"/>
                <c:pt idx="0">
                  <c:v>0</c:v>
                </c:pt>
                <c:pt idx="1">
                  <c:v>-917.2953846666667</c:v>
                </c:pt>
                <c:pt idx="2">
                  <c:v>458.07644</c:v>
                </c:pt>
                <c:pt idx="3">
                  <c:v>-374.3220178638333</c:v>
                </c:pt>
                <c:pt idx="4">
                  <c:v>-765.739814076927</c:v>
                </c:pt>
                <c:pt idx="5">
                  <c:v>-728.2786471389036</c:v>
                </c:pt>
                <c:pt idx="6">
                  <c:v>-690.7068150019761</c:v>
                </c:pt>
                <c:pt idx="7">
                  <c:v>-653.0217133282293</c:v>
                </c:pt>
                <c:pt idx="8">
                  <c:v>-615.2206670352524</c:v>
                </c:pt>
                <c:pt idx="9">
                  <c:v>-577.3009284623067</c:v>
                </c:pt>
                <c:pt idx="10">
                  <c:v>-539.2596754891836</c:v>
                </c:pt>
                <c:pt idx="11">
                  <c:v>336.2740459490146</c:v>
                </c:pt>
                <c:pt idx="12">
                  <c:v>762.990712730187</c:v>
                </c:pt>
                <c:pt idx="13">
                  <c:v>765.101715464578</c:v>
                </c:pt>
                <c:pt idx="14">
                  <c:v>767.3463050220131</c:v>
                </c:pt>
                <c:pt idx="15">
                  <c:v>769.7277057794735</c:v>
                </c:pt>
                <c:pt idx="16">
                  <c:v>772.2492289237155</c:v>
                </c:pt>
                <c:pt idx="17">
                  <c:v>774.9142746992276</c:v>
                </c:pt>
                <c:pt idx="18">
                  <c:v>777.7263347140798</c:v>
                </c:pt>
                <c:pt idx="19">
                  <c:v>780.6889943051401</c:v>
                </c:pt>
                <c:pt idx="20">
                  <c:v>783.8059349641794</c:v>
                </c:pt>
                <c:pt idx="21">
                  <c:v>687.0809368264112</c:v>
                </c:pt>
              </c:numCache>
            </c:numRef>
          </c:val>
        </c:ser>
        <c:axId val="34320907"/>
        <c:axId val="40452708"/>
      </c:barChart>
      <c:catAx>
        <c:axId val="34320907"/>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
              <c:y val="0.002"/>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0452708"/>
        <c:crosses val="autoZero"/>
        <c:auto val="1"/>
        <c:lblOffset val="100"/>
        <c:tickLblSkip val="1"/>
        <c:noMultiLvlLbl val="0"/>
      </c:catAx>
      <c:valAx>
        <c:axId val="40452708"/>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Jahresergebnis [Euro]</a:t>
                </a:r>
              </a:p>
            </c:rich>
          </c:tx>
          <c:layout>
            <c:manualLayout>
              <c:xMode val="factor"/>
              <c:yMode val="factor"/>
              <c:x val="-0.00525"/>
              <c:y val="-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4320907"/>
        <c:crossesAt val="1"/>
        <c:crossBetween val="between"/>
        <c:dispUnits/>
      </c:valAx>
      <c:spPr>
        <a:noFill/>
        <a:ln w="3175">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2575"/>
          <c:w val="0.91575"/>
          <c:h val="0.8822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Berechnung!$V$7:$V$28</c:f>
              <c:numCache>
                <c:ptCount val="22"/>
                <c:pt idx="0">
                  <c:v>0</c:v>
                </c:pt>
                <c:pt idx="1">
                  <c:v>-917.2953846666667</c:v>
                </c:pt>
                <c:pt idx="2">
                  <c:v>-476.8372692820513</c:v>
                </c:pt>
                <c:pt idx="3">
                  <c:v>-822.9190165674001</c:v>
                </c:pt>
                <c:pt idx="4">
                  <c:v>-1503.6589229711317</c:v>
                </c:pt>
                <c:pt idx="5">
                  <c:v>-2126.1945627829255</c:v>
                </c:pt>
                <c:pt idx="6">
                  <c:v>-2693.9052168564663</c:v>
                </c:pt>
                <c:pt idx="7">
                  <c:v>-3209.997762516953</c:v>
                </c:pt>
                <c:pt idx="8">
                  <c:v>-3677.514906447097</c:v>
                </c:pt>
                <c:pt idx="9">
                  <c:v>-4099.343040213055</c:v>
                </c:pt>
                <c:pt idx="10">
                  <c:v>-4478.2197352443</c:v>
                </c:pt>
                <c:pt idx="11">
                  <c:v>-4251.045038895066</c:v>
                </c:pt>
                <c:pt idx="12">
                  <c:v>-3755.420820945669</c:v>
                </c:pt>
                <c:pt idx="13">
                  <c:v>-3277.540546837847</c:v>
                </c:pt>
                <c:pt idx="14">
                  <c:v>-2816.6922409504296</c:v>
                </c:pt>
                <c:pt idx="15">
                  <c:v>-2372.1936703051897</c:v>
                </c:pt>
                <c:pt idx="16">
                  <c:v>-1943.391086236153</c:v>
                </c:pt>
                <c:pt idx="17">
                  <c:v>-1529.6580195185716</c:v>
                </c:pt>
                <c:pt idx="18">
                  <c:v>-1130.394126682004</c:v>
                </c:pt>
                <c:pt idx="19">
                  <c:v>-745.0240853289426</c:v>
                </c:pt>
                <c:pt idx="20">
                  <c:v>-372.99653637328225</c:v>
                </c:pt>
                <c:pt idx="21">
                  <c:v>-59.42176582195361</c:v>
                </c:pt>
              </c:numCache>
            </c:numRef>
          </c:val>
        </c:ser>
        <c:axId val="28530053"/>
        <c:axId val="55443886"/>
      </c:barChart>
      <c:catAx>
        <c:axId val="28530053"/>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
              <c:y val="0.002"/>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443886"/>
        <c:crosses val="autoZero"/>
        <c:auto val="1"/>
        <c:lblOffset val="100"/>
        <c:tickLblSkip val="1"/>
        <c:noMultiLvlLbl val="0"/>
      </c:catAx>
      <c:valAx>
        <c:axId val="55443886"/>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Kapitalwert [Euro]</a:t>
                </a:r>
              </a:p>
            </c:rich>
          </c:tx>
          <c:layout>
            <c:manualLayout>
              <c:xMode val="factor"/>
              <c:yMode val="factor"/>
              <c:x val="-0.00525"/>
              <c:y val="-0.004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8530053"/>
        <c:crossesAt val="1"/>
        <c:crossBetween val="between"/>
        <c:dispUnits/>
      </c:valAx>
      <c:spPr>
        <a:noFill/>
        <a:ln w="3175">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6.692913385826772" header="0.5118110236220472" footer="0.5118110236220472"/>
  <pageSetup horizontalDpi="600" verticalDpi="600" orientation="portrait" paperSize="9"/>
  <headerFooter>
    <oddHeader>&amp;F</oddHeader>
    <oddFooter>&amp;A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4152900</xdr:colOff>
      <xdr:row>1</xdr:row>
      <xdr:rowOff>38100</xdr:rowOff>
    </xdr:from>
    <xdr:to>
      <xdr:col>0</xdr:col>
      <xdr:colOff>5715000</xdr:colOff>
      <xdr:row>2</xdr:row>
      <xdr:rowOff>504825</xdr:rowOff>
    </xdr:to>
    <xdr:pic>
      <xdr:nvPicPr>
        <xdr:cNvPr id="1" name="Picture 2" descr="C:\Dokumente und Einstellungen\aw\Desktop\Umweltinstitut-Logo-CMYK_klein.tif"/>
        <xdr:cNvPicPr preferRelativeResize="1">
          <a:picLocks noChangeAspect="1"/>
        </xdr:cNvPicPr>
      </xdr:nvPicPr>
      <xdr:blipFill>
        <a:blip r:embed="rId1"/>
        <a:stretch>
          <a:fillRect/>
        </a:stretch>
      </xdr:blipFill>
      <xdr:spPr>
        <a:xfrm>
          <a:off x="4152900" y="266700"/>
          <a:ext cx="15621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0</xdr:row>
      <xdr:rowOff>0</xdr:rowOff>
    </xdr:from>
    <xdr:to>
      <xdr:col>7</xdr:col>
      <xdr:colOff>1085850</xdr:colOff>
      <xdr:row>4</xdr:row>
      <xdr:rowOff>200025</xdr:rowOff>
    </xdr:to>
    <xdr:pic>
      <xdr:nvPicPr>
        <xdr:cNvPr id="1" name="Picture 113" descr="C:\Dokumente und Einstellungen\aw\Desktop\Umweltinstitut-Logo-CMYK_klein.tif"/>
        <xdr:cNvPicPr preferRelativeResize="1">
          <a:picLocks noChangeAspect="1"/>
        </xdr:cNvPicPr>
      </xdr:nvPicPr>
      <xdr:blipFill>
        <a:blip r:embed="rId1"/>
        <a:stretch>
          <a:fillRect/>
        </a:stretch>
      </xdr:blipFill>
      <xdr:spPr>
        <a:xfrm>
          <a:off x="5638800" y="0"/>
          <a:ext cx="18002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86475" cy="3819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weltinstitut.org/frames/all/m344.htm" TargetMode="External" /><Relationship Id="rId2" Type="http://schemas.openxmlformats.org/officeDocument/2006/relationships/hyperlink" Target="https://www.kfw-formularsammlung.de/KonditionenanzeigerINet/KonditionenAnzeig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jrc.ec.europa.eu/pvgis/apps3/pvest.php" TargetMode="External" /><Relationship Id="rId2" Type="http://schemas.openxmlformats.org/officeDocument/2006/relationships/hyperlink" Target="https://www.kfw-formularsammlung.de/KonditionenanzeigerINet/KonditionenAnzeiger?ProgrammNameNr=270%20274"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7"/>
  <sheetViews>
    <sheetView showGridLines="0" zoomScalePageLayoutView="0" workbookViewId="0" topLeftCell="A1">
      <selection activeCell="D12" sqref="D12"/>
    </sheetView>
  </sheetViews>
  <sheetFormatPr defaultColWidth="11.421875" defaultRowHeight="12.75"/>
  <cols>
    <col min="1" max="1" width="85.7109375" style="1" customWidth="1"/>
  </cols>
  <sheetData>
    <row r="1" s="91" customFormat="1" ht="18">
      <c r="A1" s="90" t="s">
        <v>46</v>
      </c>
    </row>
    <row r="2" ht="24" customHeight="1">
      <c r="A2" s="7" t="str">
        <f>Parameter!A3</f>
        <v>Stand: 16.04.2012</v>
      </c>
    </row>
    <row r="3" spans="1:14" s="95" customFormat="1" ht="48.75" customHeight="1">
      <c r="A3" s="92" t="s">
        <v>91</v>
      </c>
      <c r="B3" s="93"/>
      <c r="C3" s="93"/>
      <c r="D3" s="93"/>
      <c r="E3" s="93"/>
      <c r="F3" s="93"/>
      <c r="G3" s="94"/>
      <c r="H3" s="94"/>
      <c r="I3" s="94"/>
      <c r="J3" s="94"/>
      <c r="K3" s="94"/>
      <c r="L3" s="94"/>
      <c r="M3" s="94"/>
      <c r="N3" s="94"/>
    </row>
    <row r="4" spans="1:14" s="95" customFormat="1" ht="48.75" customHeight="1">
      <c r="A4" s="96" t="s">
        <v>92</v>
      </c>
      <c r="B4" s="93"/>
      <c r="C4" s="93"/>
      <c r="D4" s="93"/>
      <c r="E4" s="93"/>
      <c r="F4" s="93"/>
      <c r="G4" s="94"/>
      <c r="H4" s="94"/>
      <c r="I4" s="94"/>
      <c r="J4" s="94"/>
      <c r="K4" s="94"/>
      <c r="L4" s="94"/>
      <c r="M4" s="94"/>
      <c r="N4" s="94"/>
    </row>
    <row r="5" s="98" customFormat="1" ht="42.75" customHeight="1">
      <c r="A5" s="97" t="s">
        <v>93</v>
      </c>
    </row>
    <row r="6" s="99" customFormat="1" ht="37.5" customHeight="1">
      <c r="A6" s="124" t="s">
        <v>94</v>
      </c>
    </row>
    <row r="7" s="98" customFormat="1" ht="153" customHeight="1">
      <c r="A7" s="125" t="s">
        <v>95</v>
      </c>
    </row>
    <row r="8" ht="52.5" customHeight="1">
      <c r="A8" s="126" t="s">
        <v>96</v>
      </c>
    </row>
    <row r="9" ht="41.25" customHeight="1">
      <c r="A9" s="126" t="s">
        <v>97</v>
      </c>
    </row>
    <row r="10" ht="75" customHeight="1">
      <c r="A10" s="125" t="s">
        <v>110</v>
      </c>
    </row>
    <row r="11" s="100" customFormat="1" ht="12" customHeight="1">
      <c r="A11" s="127" t="s">
        <v>84</v>
      </c>
    </row>
    <row r="12" ht="70.5" customHeight="1">
      <c r="A12" s="128" t="s">
        <v>98</v>
      </c>
    </row>
    <row r="13" s="74" customFormat="1" ht="42" customHeight="1">
      <c r="A13" s="129" t="s">
        <v>99</v>
      </c>
    </row>
    <row r="14" ht="23.25" customHeight="1">
      <c r="A14" s="125" t="s">
        <v>100</v>
      </c>
    </row>
    <row r="15" ht="38.25" customHeight="1">
      <c r="A15" s="101" t="s">
        <v>55</v>
      </c>
    </row>
    <row r="16" ht="25.5">
      <c r="A16" s="101" t="s">
        <v>9</v>
      </c>
    </row>
    <row r="17" ht="25.5">
      <c r="A17" s="101" t="s">
        <v>86</v>
      </c>
    </row>
    <row r="18" ht="12.75">
      <c r="A18" s="102"/>
    </row>
    <row r="19" ht="12.75">
      <c r="A19" s="103"/>
    </row>
    <row r="20" ht="12.75">
      <c r="A20" s="103"/>
    </row>
    <row r="21" ht="12.75">
      <c r="A21" s="103"/>
    </row>
    <row r="22" ht="12.75">
      <c r="A22" s="103"/>
    </row>
    <row r="23" ht="12.75">
      <c r="A23" s="103"/>
    </row>
    <row r="24" ht="12.75">
      <c r="A24" s="103"/>
    </row>
    <row r="25" ht="12.75">
      <c r="A25" s="103"/>
    </row>
    <row r="26" ht="12.75">
      <c r="A26" s="103"/>
    </row>
    <row r="27" ht="12.75">
      <c r="A27" s="103"/>
    </row>
    <row r="28" ht="12.75">
      <c r="A28" s="103"/>
    </row>
    <row r="29" ht="12.75">
      <c r="A29" s="103"/>
    </row>
    <row r="30" ht="12.75">
      <c r="A30" s="103"/>
    </row>
    <row r="31" ht="12.75">
      <c r="A31" s="103"/>
    </row>
    <row r="32" ht="12.75">
      <c r="A32" s="103"/>
    </row>
    <row r="33" ht="12.75">
      <c r="A33" s="103"/>
    </row>
    <row r="34" ht="12.75">
      <c r="A34" s="103"/>
    </row>
    <row r="35" ht="12.75">
      <c r="A35" s="103"/>
    </row>
    <row r="36" ht="12.75">
      <c r="A36" s="103"/>
    </row>
    <row r="37" ht="12.75">
      <c r="A37" s="103"/>
    </row>
    <row r="38" ht="12.75">
      <c r="A38" s="103"/>
    </row>
    <row r="39" ht="12.75">
      <c r="A39" s="103"/>
    </row>
    <row r="40" ht="12.75">
      <c r="A40" s="103"/>
    </row>
    <row r="41" ht="12.75">
      <c r="A41" s="103"/>
    </row>
    <row r="42" ht="12.75">
      <c r="A42" s="103"/>
    </row>
    <row r="43" ht="12.75">
      <c r="A43" s="103"/>
    </row>
    <row r="44" ht="12.75">
      <c r="A44" s="103"/>
    </row>
    <row r="45" ht="12.75">
      <c r="A45" s="103"/>
    </row>
    <row r="46" ht="12.75">
      <c r="A46" s="103"/>
    </row>
    <row r="47" ht="12.75">
      <c r="A47" s="103"/>
    </row>
  </sheetData>
  <sheetProtection/>
  <hyperlinks>
    <hyperlink ref="A5" r:id="rId1" display="Zum Textbeitrag &quot;Wirtschaftlichkeit von Photovoltaik-Anlagen&quot; auf www.umweltinstitut.org"/>
    <hyperlink ref="A11:IV11" r:id="rId2" display="https://www.kfw-formularsammlung.de/KonditionenanzeigerINet/KonditionenAnzeiger"/>
  </hyperlinks>
  <printOptions/>
  <pageMargins left="0.75" right="0.75" top="1" bottom="1" header="0.4921259845" footer="0.4921259845"/>
  <pageSetup horizontalDpi="600" verticalDpi="600" orientation="portrait" paperSize="9" r:id="rId4"/>
  <headerFooter alignWithMargins="0">
    <oddHeader>&amp;C&amp;F</oddHeader>
    <oddFooter>&amp;C&amp;A</oddFooter>
  </headerFooter>
  <drawing r:id="rId3"/>
</worksheet>
</file>

<file path=xl/worksheets/sheet2.xml><?xml version="1.0" encoding="utf-8"?>
<worksheet xmlns="http://schemas.openxmlformats.org/spreadsheetml/2006/main" xmlns:r="http://schemas.openxmlformats.org/officeDocument/2006/relationships">
  <dimension ref="A1:N68"/>
  <sheetViews>
    <sheetView showGridLines="0" tabSelected="1" zoomScalePageLayoutView="0" workbookViewId="0" topLeftCell="A1">
      <selection activeCell="L12" sqref="L12"/>
    </sheetView>
  </sheetViews>
  <sheetFormatPr defaultColWidth="8.7109375" defaultRowHeight="12.75"/>
  <cols>
    <col min="1" max="1" width="42.57421875" style="65" customWidth="1"/>
    <col min="2" max="2" width="10.00390625" style="49" customWidth="1"/>
    <col min="3" max="3" width="8.28125" style="49" customWidth="1"/>
    <col min="4" max="4" width="8.28125" style="50" customWidth="1"/>
    <col min="5" max="6" width="8.28125" style="49" customWidth="1"/>
    <col min="7" max="7" width="9.57421875" style="49" customWidth="1"/>
    <col min="8" max="8" width="16.57421875" style="49" customWidth="1"/>
    <col min="9" max="9" width="8.57421875" style="49" hidden="1" customWidth="1"/>
    <col min="10" max="14" width="8.7109375" style="108" customWidth="1"/>
    <col min="15" max="16384" width="8.7109375" style="109" customWidth="1"/>
  </cols>
  <sheetData>
    <row r="1" spans="1:14" s="105" customFormat="1" ht="15.75">
      <c r="A1" s="38" t="s">
        <v>46</v>
      </c>
      <c r="B1" s="39"/>
      <c r="C1" s="38"/>
      <c r="D1" s="40"/>
      <c r="E1" s="38"/>
      <c r="F1" s="38"/>
      <c r="G1" s="41"/>
      <c r="H1" s="41"/>
      <c r="I1" s="41"/>
      <c r="J1" s="104"/>
      <c r="K1" s="104"/>
      <c r="L1" s="104"/>
      <c r="M1" s="104"/>
      <c r="N1" s="104"/>
    </row>
    <row r="2" spans="1:14" s="107" customFormat="1" ht="12.75">
      <c r="A2" s="42" t="s">
        <v>31</v>
      </c>
      <c r="B2" s="43"/>
      <c r="C2" s="42"/>
      <c r="D2" s="44"/>
      <c r="E2" s="42"/>
      <c r="F2" s="42"/>
      <c r="G2" s="45"/>
      <c r="H2" s="45"/>
      <c r="I2" s="45"/>
      <c r="J2" s="106"/>
      <c r="K2" s="106"/>
      <c r="L2" s="106"/>
      <c r="M2" s="106"/>
      <c r="N2" s="106"/>
    </row>
    <row r="3" spans="1:14" s="107" customFormat="1" ht="12.75">
      <c r="A3" s="42" t="s">
        <v>123</v>
      </c>
      <c r="B3" s="43"/>
      <c r="C3" s="42"/>
      <c r="D3" s="44"/>
      <c r="E3" s="42"/>
      <c r="F3" s="42"/>
      <c r="G3" s="45"/>
      <c r="H3" s="45"/>
      <c r="I3" s="45"/>
      <c r="J3" s="106"/>
      <c r="K3" s="106"/>
      <c r="L3" s="106"/>
      <c r="M3" s="106"/>
      <c r="N3" s="106"/>
    </row>
    <row r="4" spans="1:6" ht="12.75">
      <c r="A4" s="46"/>
      <c r="B4" s="47"/>
      <c r="C4" s="46"/>
      <c r="D4" s="48"/>
      <c r="E4" s="46"/>
      <c r="F4" s="46"/>
    </row>
    <row r="5" spans="1:9" s="110" customFormat="1" ht="20.25" customHeight="1">
      <c r="A5" s="17" t="s">
        <v>23</v>
      </c>
      <c r="B5" s="26"/>
      <c r="C5" s="18"/>
      <c r="D5" s="24"/>
      <c r="E5" s="18"/>
      <c r="F5" s="18"/>
      <c r="G5" s="18"/>
      <c r="H5" s="18"/>
      <c r="I5" s="18"/>
    </row>
    <row r="6" spans="1:9" s="111" customFormat="1" ht="12.75">
      <c r="A6" s="18" t="s">
        <v>42</v>
      </c>
      <c r="B6" s="19"/>
      <c r="C6" s="19"/>
      <c r="D6" s="20"/>
      <c r="E6" s="19"/>
      <c r="F6" s="19"/>
      <c r="G6" s="19"/>
      <c r="H6" s="19"/>
      <c r="I6" s="20"/>
    </row>
    <row r="7" spans="1:9" s="111" customFormat="1" ht="12.75">
      <c r="A7" s="18" t="s">
        <v>22</v>
      </c>
      <c r="B7" s="19"/>
      <c r="C7" s="19"/>
      <c r="D7" s="20"/>
      <c r="E7" s="19"/>
      <c r="F7" s="19"/>
      <c r="G7" s="19"/>
      <c r="H7" s="19"/>
      <c r="I7" s="20"/>
    </row>
    <row r="8" ht="12"/>
    <row r="9" ht="12"/>
    <row r="10" spans="1:3" ht="12.75">
      <c r="A10" s="51" t="s">
        <v>5</v>
      </c>
      <c r="B10" s="68"/>
      <c r="C10" s="69"/>
    </row>
    <row r="11" spans="1:3" ht="12.75">
      <c r="A11" s="53" t="s">
        <v>107</v>
      </c>
      <c r="B11" s="137">
        <f>Berechnung!T30</f>
        <v>0.038645505867412694</v>
      </c>
      <c r="C11" s="66" t="s">
        <v>1</v>
      </c>
    </row>
    <row r="12" spans="1:3" ht="12.75">
      <c r="A12" s="53" t="s">
        <v>62</v>
      </c>
      <c r="B12" s="138">
        <f>Berechnung!U29</f>
        <v>-59.42176582195361</v>
      </c>
      <c r="C12" s="53" t="s">
        <v>21</v>
      </c>
    </row>
    <row r="13" spans="1:3" ht="12.75">
      <c r="A13" s="53" t="s">
        <v>32</v>
      </c>
      <c r="B13" s="138">
        <f>(B18+B19)*(1+B55)-B35*(B36-B37)-B43</f>
        <v>3115</v>
      </c>
      <c r="C13" s="53" t="s">
        <v>21</v>
      </c>
    </row>
    <row r="14" ht="12"/>
    <row r="15" spans="1:3" ht="12.75">
      <c r="A15" s="51"/>
      <c r="B15" s="52"/>
      <c r="C15" s="53"/>
    </row>
    <row r="16" spans="1:14" s="114" customFormat="1" ht="12.75">
      <c r="A16" s="53" t="s">
        <v>48</v>
      </c>
      <c r="B16" s="54"/>
      <c r="C16" s="54"/>
      <c r="D16" s="55"/>
      <c r="E16" s="56"/>
      <c r="F16" s="56"/>
      <c r="G16" s="56"/>
      <c r="H16" s="56"/>
      <c r="I16" s="54"/>
      <c r="J16" s="112"/>
      <c r="K16" s="112"/>
      <c r="L16" s="113"/>
      <c r="M16" s="113"/>
      <c r="N16" s="113"/>
    </row>
    <row r="17" spans="1:14" s="115" customFormat="1" ht="12.75">
      <c r="A17" s="58" t="s">
        <v>13</v>
      </c>
      <c r="B17" s="130">
        <v>5</v>
      </c>
      <c r="C17" s="59" t="s">
        <v>10</v>
      </c>
      <c r="D17" s="55"/>
      <c r="E17" s="55"/>
      <c r="F17" s="55"/>
      <c r="G17" s="55"/>
      <c r="H17" s="55"/>
      <c r="I17" s="57"/>
      <c r="J17" s="113"/>
      <c r="K17" s="113"/>
      <c r="L17" s="113"/>
      <c r="M17" s="113"/>
      <c r="N17" s="113"/>
    </row>
    <row r="18" spans="1:14" s="115" customFormat="1" ht="12.75">
      <c r="A18" s="58" t="s">
        <v>28</v>
      </c>
      <c r="B18" s="131">
        <v>10000</v>
      </c>
      <c r="C18" s="59" t="s">
        <v>58</v>
      </c>
      <c r="D18" s="60">
        <f>B18/B17</f>
        <v>2000</v>
      </c>
      <c r="E18" s="59" t="s">
        <v>18</v>
      </c>
      <c r="F18" s="59"/>
      <c r="G18" s="55"/>
      <c r="H18" s="59"/>
      <c r="I18" s="55"/>
      <c r="L18" s="116"/>
      <c r="M18" s="116"/>
      <c r="N18" s="116"/>
    </row>
    <row r="19" spans="1:14" s="115" customFormat="1" ht="12.75">
      <c r="A19" s="58" t="s">
        <v>103</v>
      </c>
      <c r="B19" s="131">
        <v>1000</v>
      </c>
      <c r="C19" s="59" t="s">
        <v>21</v>
      </c>
      <c r="D19" s="60"/>
      <c r="E19" s="59"/>
      <c r="F19" s="59"/>
      <c r="G19" s="55"/>
      <c r="H19" s="59"/>
      <c r="I19" s="55"/>
      <c r="L19" s="116"/>
      <c r="M19" s="116"/>
      <c r="N19" s="116"/>
    </row>
    <row r="20" spans="1:14" s="115" customFormat="1" ht="12.75">
      <c r="A20" s="58" t="s">
        <v>104</v>
      </c>
      <c r="B20" s="131">
        <f>3%*B18</f>
        <v>300</v>
      </c>
      <c r="C20" s="59" t="s">
        <v>21</v>
      </c>
      <c r="D20" s="55"/>
      <c r="E20" s="55"/>
      <c r="F20" s="55"/>
      <c r="G20" s="55"/>
      <c r="H20" s="55"/>
      <c r="I20" s="55"/>
      <c r="L20" s="117"/>
      <c r="M20" s="118"/>
      <c r="N20" s="118"/>
    </row>
    <row r="21" spans="1:14" s="115" customFormat="1" ht="12.75">
      <c r="A21" s="59" t="s">
        <v>112</v>
      </c>
      <c r="B21" s="132">
        <v>0.015</v>
      </c>
      <c r="C21" s="59" t="s">
        <v>1</v>
      </c>
      <c r="D21" s="55"/>
      <c r="E21" s="73"/>
      <c r="F21" s="55"/>
      <c r="G21" s="61"/>
      <c r="H21" s="59"/>
      <c r="I21" s="55"/>
      <c r="L21" s="117"/>
      <c r="M21" s="118"/>
      <c r="N21" s="118"/>
    </row>
    <row r="22" spans="1:14" s="115" customFormat="1" ht="12.75">
      <c r="A22" s="59" t="s">
        <v>56</v>
      </c>
      <c r="B22" s="133">
        <v>0</v>
      </c>
      <c r="C22" s="59" t="s">
        <v>1</v>
      </c>
      <c r="D22" s="55"/>
      <c r="E22" s="55"/>
      <c r="F22" s="55"/>
      <c r="G22" s="61"/>
      <c r="H22" s="59"/>
      <c r="I22" s="55"/>
      <c r="L22" s="117"/>
      <c r="M22" s="118"/>
      <c r="N22" s="118"/>
    </row>
    <row r="23" spans="1:14" s="115" customFormat="1" ht="12.75">
      <c r="A23" s="58" t="s">
        <v>33</v>
      </c>
      <c r="B23" s="131">
        <v>900</v>
      </c>
      <c r="C23" s="59" t="s">
        <v>87</v>
      </c>
      <c r="D23" s="55"/>
      <c r="E23" s="87" t="s">
        <v>82</v>
      </c>
      <c r="F23" s="55"/>
      <c r="G23" s="55"/>
      <c r="H23" s="55"/>
      <c r="I23" s="55"/>
      <c r="L23" s="119"/>
      <c r="M23" s="118"/>
      <c r="N23" s="118"/>
    </row>
    <row r="24" spans="1:14" s="115" customFormat="1" ht="12.75">
      <c r="A24" s="58" t="s">
        <v>20</v>
      </c>
      <c r="B24" s="134">
        <v>0.005</v>
      </c>
      <c r="C24" s="59"/>
      <c r="D24" s="55"/>
      <c r="E24" s="55"/>
      <c r="F24" s="55"/>
      <c r="G24" s="55"/>
      <c r="H24" s="62"/>
      <c r="I24" s="55"/>
      <c r="L24" s="117"/>
      <c r="M24" s="118"/>
      <c r="N24" s="118"/>
    </row>
    <row r="25" spans="1:14" s="115" customFormat="1" ht="12.75">
      <c r="A25" s="58" t="s">
        <v>89</v>
      </c>
      <c r="B25" s="136">
        <v>0.2</v>
      </c>
      <c r="C25" s="59"/>
      <c r="D25" s="63"/>
      <c r="E25" s="55"/>
      <c r="F25" s="55"/>
      <c r="G25" s="55"/>
      <c r="H25" s="62"/>
      <c r="I25" s="55"/>
      <c r="L25" s="117"/>
      <c r="M25" s="118"/>
      <c r="N25" s="118"/>
    </row>
    <row r="26" spans="1:14" s="115" customFormat="1" ht="12.75">
      <c r="A26" s="58" t="s">
        <v>105</v>
      </c>
      <c r="B26" s="135">
        <v>2012</v>
      </c>
      <c r="C26" s="123"/>
      <c r="D26" s="63"/>
      <c r="E26" s="55"/>
      <c r="F26" s="55"/>
      <c r="G26" s="55"/>
      <c r="H26" s="62"/>
      <c r="I26" s="55"/>
      <c r="L26" s="117"/>
      <c r="M26" s="118"/>
      <c r="N26" s="118"/>
    </row>
    <row r="27" spans="1:14" s="115" customFormat="1" ht="12.75">
      <c r="A27" s="58" t="s">
        <v>101</v>
      </c>
      <c r="B27" s="135">
        <v>5</v>
      </c>
      <c r="C27" s="57" t="s">
        <v>115</v>
      </c>
      <c r="D27" s="89">
        <f>(VLOOKUP(B27,Solarertrag!C1:D12,2,TRUE)+VLOOKUP(B27+1,Solarertrag!C1:D12,2,TRUE))/2</f>
        <v>0.687</v>
      </c>
      <c r="E27" s="59" t="s">
        <v>80</v>
      </c>
      <c r="F27" s="55"/>
      <c r="G27" s="55"/>
      <c r="H27" s="55"/>
      <c r="I27" s="55"/>
      <c r="L27" s="117"/>
      <c r="M27" s="118"/>
      <c r="N27" s="118"/>
    </row>
    <row r="28" spans="1:14" s="115" customFormat="1" ht="12.75">
      <c r="A28" s="58" t="s">
        <v>118</v>
      </c>
      <c r="B28" s="136">
        <v>0.01</v>
      </c>
      <c r="C28" s="59"/>
      <c r="D28" s="89"/>
      <c r="E28" s="59"/>
      <c r="F28" s="55"/>
      <c r="G28" s="55"/>
      <c r="H28" s="55"/>
      <c r="I28" s="55"/>
      <c r="L28" s="117"/>
      <c r="M28" s="118"/>
      <c r="N28" s="118"/>
    </row>
    <row r="29" spans="1:14" s="115" customFormat="1" ht="12.75">
      <c r="A29" s="58" t="s">
        <v>122</v>
      </c>
      <c r="B29" s="143">
        <f>IF(B26=2011,100%,IF(AND(B26=2012,B27&lt;4),100%,IF(B17&lt;=10,80%,IF(B17&lt;=1000,90%,IF(B17&lt;=10000,100%,0%)))))</f>
        <v>0.8</v>
      </c>
      <c r="C29" s="59" t="s">
        <v>117</v>
      </c>
      <c r="D29" s="89"/>
      <c r="E29" s="59"/>
      <c r="F29" s="55"/>
      <c r="G29" s="55"/>
      <c r="H29" s="55"/>
      <c r="I29" s="55"/>
      <c r="L29" s="117"/>
      <c r="M29" s="118"/>
      <c r="N29" s="118"/>
    </row>
    <row r="30" spans="1:14" s="115" customFormat="1" ht="12.75">
      <c r="A30" s="58"/>
      <c r="B30" s="55"/>
      <c r="C30" s="64">
        <v>2011</v>
      </c>
      <c r="D30" s="64">
        <v>2012</v>
      </c>
      <c r="E30" s="142" t="s">
        <v>116</v>
      </c>
      <c r="F30" s="122"/>
      <c r="G30" s="55"/>
      <c r="H30" s="62"/>
      <c r="I30" s="55"/>
      <c r="L30" s="117"/>
      <c r="M30" s="118"/>
      <c r="N30" s="118"/>
    </row>
    <row r="31" spans="1:14" s="115" customFormat="1" ht="12.75">
      <c r="A31" s="58" t="s">
        <v>63</v>
      </c>
      <c r="B31" s="25">
        <f>IF(B26=2011,C31,IF(B26=2012,IF(B27&lt;4,D31,(1-(B27-4)*B28)*E31)))</f>
        <v>0.19305</v>
      </c>
      <c r="C31" s="37">
        <f>IF($B$17&lt;30,0.2874,IF($B$17&lt;100,(30*0.2874+($B$17-30)*0.2733)/$B$17,IF($B$17&lt;1000,(0.2874*30+0.2733*70+($B$17-100)*0.2586)/$B$17,(0.2874*30+0.2733*70+0.2586*900+0.2156*($B$17-1000))/$B$17)))</f>
        <v>0.2874</v>
      </c>
      <c r="D31" s="37">
        <f>0.85*C31</f>
        <v>0.24428999999999998</v>
      </c>
      <c r="E31" s="37">
        <f>IF($B$17&lt;=10,0.195,IF($B$17&lt;=1000,(10*0.195+($B$17-10)*0.165)/$B$17,(0.195*10+0.165*990+($B$17-1000)*0.135)/$B$17))</f>
        <v>0.195</v>
      </c>
      <c r="F31" s="55"/>
      <c r="G31" s="55"/>
      <c r="H31" s="55"/>
      <c r="I31" s="55"/>
      <c r="L31" s="119"/>
      <c r="M31" s="118"/>
      <c r="N31" s="118"/>
    </row>
    <row r="32" spans="1:14" s="115" customFormat="1" ht="12.75">
      <c r="A32" s="58" t="s">
        <v>64</v>
      </c>
      <c r="B32" s="25">
        <f>IF(B26=2011,IF(D25&lt;30%,C32,(30%*C32+(D25-30%)*C33)/D25),IF(B26=2012,IF(B27&lt;4,IF(D25&lt;30%,D32,(30%*D32+(D25-30%)*D33)/D25),0)))</f>
        <v>0</v>
      </c>
      <c r="C32" s="37">
        <f>C31-0.1638</f>
        <v>0.12359999999999999</v>
      </c>
      <c r="D32" s="37">
        <f>D31-0.1638</f>
        <v>0.08048999999999998</v>
      </c>
      <c r="E32" s="64" t="s">
        <v>85</v>
      </c>
      <c r="F32" s="88" t="s">
        <v>89</v>
      </c>
      <c r="G32" s="55"/>
      <c r="H32" s="55"/>
      <c r="I32" s="55"/>
      <c r="L32" s="119"/>
      <c r="M32" s="118"/>
      <c r="N32" s="118"/>
    </row>
    <row r="33" spans="1:14" s="115" customFormat="1" ht="12.75">
      <c r="A33" s="58"/>
      <c r="B33" s="55"/>
      <c r="C33" s="37">
        <f>C31-0.12</f>
        <v>0.1674</v>
      </c>
      <c r="D33" s="37">
        <f>D31-0.12</f>
        <v>0.12428999999999998</v>
      </c>
      <c r="E33" s="64" t="s">
        <v>88</v>
      </c>
      <c r="F33" s="88" t="s">
        <v>89</v>
      </c>
      <c r="G33" s="55"/>
      <c r="H33" s="55"/>
      <c r="I33" s="55"/>
      <c r="L33" s="119"/>
      <c r="M33" s="118"/>
      <c r="N33" s="118"/>
    </row>
    <row r="34" spans="1:14" s="115" customFormat="1" ht="12.75">
      <c r="A34" s="51" t="s">
        <v>49</v>
      </c>
      <c r="B34" s="15"/>
      <c r="C34" s="55"/>
      <c r="D34" s="55"/>
      <c r="E34" s="55"/>
      <c r="F34" s="55"/>
      <c r="G34" s="55"/>
      <c r="H34" s="55"/>
      <c r="I34" s="55"/>
      <c r="L34" s="119"/>
      <c r="M34" s="118"/>
      <c r="N34" s="118"/>
    </row>
    <row r="35" spans="1:14" s="115" customFormat="1" ht="12.75">
      <c r="A35" s="58" t="s">
        <v>29</v>
      </c>
      <c r="B35" s="131">
        <f>B18</f>
        <v>10000</v>
      </c>
      <c r="C35" s="59" t="s">
        <v>21</v>
      </c>
      <c r="D35" s="63">
        <f>B35/B18</f>
        <v>1</v>
      </c>
      <c r="E35" s="55"/>
      <c r="F35" s="55"/>
      <c r="G35" s="55"/>
      <c r="H35" s="55"/>
      <c r="I35" s="55"/>
      <c r="L35" s="119"/>
      <c r="M35" s="118"/>
      <c r="N35" s="118"/>
    </row>
    <row r="36" spans="1:4" ht="12.75">
      <c r="A36" s="65" t="s">
        <v>37</v>
      </c>
      <c r="B36" s="133">
        <v>1</v>
      </c>
      <c r="D36" s="139"/>
    </row>
    <row r="37" spans="1:2" ht="12.75">
      <c r="A37" s="65" t="s">
        <v>40</v>
      </c>
      <c r="B37" s="134">
        <v>0.0025</v>
      </c>
    </row>
    <row r="38" spans="1:14" s="115" customFormat="1" ht="12.75">
      <c r="A38" s="65" t="s">
        <v>43</v>
      </c>
      <c r="B38" s="134">
        <v>0.0415</v>
      </c>
      <c r="C38" s="59" t="s">
        <v>1</v>
      </c>
      <c r="D38" s="87" t="s">
        <v>119</v>
      </c>
      <c r="E38" s="55"/>
      <c r="F38" s="55" t="s">
        <v>121</v>
      </c>
      <c r="G38" s="55"/>
      <c r="H38" s="55"/>
      <c r="I38" s="55"/>
      <c r="L38" s="119"/>
      <c r="M38" s="118"/>
      <c r="N38" s="118"/>
    </row>
    <row r="39" spans="1:14" s="115" customFormat="1" ht="12.75">
      <c r="A39" s="65" t="s">
        <v>50</v>
      </c>
      <c r="B39" s="131">
        <v>10</v>
      </c>
      <c r="C39" s="59"/>
      <c r="D39" s="55"/>
      <c r="E39" s="55"/>
      <c r="F39" s="55"/>
      <c r="G39" s="55"/>
      <c r="H39" s="55"/>
      <c r="I39" s="55"/>
      <c r="L39" s="119"/>
      <c r="M39" s="118"/>
      <c r="N39" s="118"/>
    </row>
    <row r="40" spans="1:3" ht="12.75">
      <c r="A40" s="65" t="s">
        <v>54</v>
      </c>
      <c r="B40" s="132">
        <v>0.06</v>
      </c>
      <c r="C40" s="59" t="s">
        <v>1</v>
      </c>
    </row>
    <row r="41" spans="1:4" ht="12.75">
      <c r="A41" s="65" t="s">
        <v>38</v>
      </c>
      <c r="B41" s="135">
        <v>10</v>
      </c>
      <c r="C41" s="66" t="s">
        <v>25</v>
      </c>
      <c r="D41" s="25"/>
    </row>
    <row r="42" spans="1:3" ht="12.75">
      <c r="A42" s="65" t="s">
        <v>39</v>
      </c>
      <c r="B42" s="135">
        <v>2</v>
      </c>
      <c r="C42" s="66" t="s">
        <v>25</v>
      </c>
    </row>
    <row r="43" spans="1:3" ht="12.75">
      <c r="A43" s="58" t="s">
        <v>35</v>
      </c>
      <c r="B43" s="131">
        <v>0</v>
      </c>
      <c r="C43" s="59" t="s">
        <v>21</v>
      </c>
    </row>
    <row r="44" spans="1:7" ht="12.75">
      <c r="A44" s="65" t="s">
        <v>36</v>
      </c>
      <c r="B44" s="132">
        <v>0.05</v>
      </c>
      <c r="C44" s="59" t="s">
        <v>1</v>
      </c>
      <c r="G44" s="67"/>
    </row>
    <row r="45" spans="1:3" ht="12.75">
      <c r="A45" s="65" t="s">
        <v>38</v>
      </c>
      <c r="B45" s="135">
        <v>15</v>
      </c>
      <c r="C45" s="66" t="s">
        <v>25</v>
      </c>
    </row>
    <row r="46" spans="1:3" ht="12.75">
      <c r="A46" s="65" t="s">
        <v>39</v>
      </c>
      <c r="B46" s="135">
        <v>0</v>
      </c>
      <c r="C46" s="66" t="s">
        <v>25</v>
      </c>
    </row>
    <row r="47" ht="12">
      <c r="C47" s="66"/>
    </row>
    <row r="48" spans="1:3" ht="12.75">
      <c r="A48" s="51" t="s">
        <v>51</v>
      </c>
      <c r="C48" s="66"/>
    </row>
    <row r="49" spans="1:14" s="115" customFormat="1" ht="12.75">
      <c r="A49" s="58" t="s">
        <v>0</v>
      </c>
      <c r="B49" s="132">
        <v>0.02</v>
      </c>
      <c r="C49" s="59" t="s">
        <v>1</v>
      </c>
      <c r="D49" s="55"/>
      <c r="E49" s="55"/>
      <c r="F49" s="55"/>
      <c r="G49" s="55"/>
      <c r="H49" s="55"/>
      <c r="I49" s="55"/>
      <c r="L49" s="119"/>
      <c r="M49" s="118"/>
      <c r="N49" s="118"/>
    </row>
    <row r="50" spans="1:14" s="115" customFormat="1" ht="12.75">
      <c r="A50" s="58" t="s">
        <v>52</v>
      </c>
      <c r="B50" s="132">
        <v>0.04</v>
      </c>
      <c r="C50" s="59" t="s">
        <v>1</v>
      </c>
      <c r="D50" s="55"/>
      <c r="E50" s="55"/>
      <c r="F50" s="55"/>
      <c r="G50" s="55"/>
      <c r="H50" s="55"/>
      <c r="I50" s="55"/>
      <c r="L50" s="119"/>
      <c r="M50" s="118"/>
      <c r="N50" s="118"/>
    </row>
    <row r="51" spans="1:14" s="115" customFormat="1" ht="12.75">
      <c r="A51" s="58" t="s">
        <v>106</v>
      </c>
      <c r="B51" s="132">
        <f>B49</f>
        <v>0.02</v>
      </c>
      <c r="C51" s="59" t="s">
        <v>1</v>
      </c>
      <c r="D51" s="55"/>
      <c r="E51" s="55"/>
      <c r="F51" s="55"/>
      <c r="G51" s="55"/>
      <c r="H51" s="55"/>
      <c r="I51" s="55"/>
      <c r="L51" s="119"/>
      <c r="M51" s="118"/>
      <c r="N51" s="118"/>
    </row>
    <row r="52" spans="1:14" s="115" customFormat="1" ht="12.75">
      <c r="A52" s="58" t="s">
        <v>102</v>
      </c>
      <c r="B52" s="144">
        <v>0.2</v>
      </c>
      <c r="C52" s="59" t="s">
        <v>83</v>
      </c>
      <c r="D52" s="55"/>
      <c r="E52" s="55"/>
      <c r="F52" s="55"/>
      <c r="G52" s="55"/>
      <c r="H52" s="55"/>
      <c r="I52" s="55"/>
      <c r="L52" s="119"/>
      <c r="M52" s="118"/>
      <c r="N52" s="118"/>
    </row>
    <row r="53" spans="1:14" s="115" customFormat="1" ht="12.75">
      <c r="A53" s="58" t="s">
        <v>120</v>
      </c>
      <c r="B53" s="144">
        <v>0.055</v>
      </c>
      <c r="C53" s="59" t="s">
        <v>83</v>
      </c>
      <c r="D53" s="55"/>
      <c r="E53" s="55"/>
      <c r="F53" s="55"/>
      <c r="G53" s="55"/>
      <c r="H53" s="55"/>
      <c r="I53" s="55"/>
      <c r="L53" s="119"/>
      <c r="M53" s="118"/>
      <c r="N53" s="118"/>
    </row>
    <row r="54" spans="1:14" s="115" customFormat="1" ht="12.75">
      <c r="A54" s="58" t="s">
        <v>47</v>
      </c>
      <c r="B54" s="132">
        <v>0.03</v>
      </c>
      <c r="C54" s="59" t="s">
        <v>1</v>
      </c>
      <c r="D54" s="55"/>
      <c r="E54" s="55"/>
      <c r="F54" s="55"/>
      <c r="G54" s="55"/>
      <c r="H54" s="55"/>
      <c r="I54" s="55"/>
      <c r="L54" s="119"/>
      <c r="M54" s="118"/>
      <c r="N54" s="118"/>
    </row>
    <row r="55" spans="1:14" s="115" customFormat="1" ht="12.75">
      <c r="A55" s="58" t="s">
        <v>90</v>
      </c>
      <c r="B55" s="136">
        <v>0.19</v>
      </c>
      <c r="C55" s="59"/>
      <c r="D55" s="55"/>
      <c r="E55" s="55"/>
      <c r="F55" s="56"/>
      <c r="G55" s="55"/>
      <c r="H55" s="55"/>
      <c r="I55" s="55"/>
      <c r="L55" s="117"/>
      <c r="M55" s="118"/>
      <c r="N55" s="118"/>
    </row>
    <row r="56" spans="1:14" s="115" customFormat="1" ht="12.75">
      <c r="A56" s="58" t="s">
        <v>53</v>
      </c>
      <c r="B56" s="136">
        <v>0.3</v>
      </c>
      <c r="C56" s="59"/>
      <c r="D56" s="55"/>
      <c r="E56" s="55"/>
      <c r="F56" s="56"/>
      <c r="G56" s="55"/>
      <c r="H56" s="55"/>
      <c r="I56" s="55"/>
      <c r="L56" s="117"/>
      <c r="M56" s="118"/>
      <c r="N56" s="118"/>
    </row>
    <row r="57" spans="1:14" s="115" customFormat="1" ht="12.75">
      <c r="A57" s="58" t="s">
        <v>27</v>
      </c>
      <c r="B57" s="136">
        <v>0.3</v>
      </c>
      <c r="C57" s="59"/>
      <c r="D57" s="55"/>
      <c r="E57" s="55"/>
      <c r="F57" s="56"/>
      <c r="G57" s="55"/>
      <c r="H57" s="55"/>
      <c r="I57" s="55"/>
      <c r="L57" s="117"/>
      <c r="M57" s="118"/>
      <c r="N57" s="118"/>
    </row>
    <row r="58" spans="1:14" s="115" customFormat="1" ht="12.75">
      <c r="A58" s="58" t="s">
        <v>65</v>
      </c>
      <c r="B58" s="136">
        <v>0</v>
      </c>
      <c r="C58" s="59"/>
      <c r="D58" s="55"/>
      <c r="E58" s="55"/>
      <c r="F58" s="56"/>
      <c r="G58" s="55"/>
      <c r="H58" s="55"/>
      <c r="I58" s="55"/>
      <c r="L58" s="117"/>
      <c r="M58" s="118"/>
      <c r="N58" s="118"/>
    </row>
    <row r="59" spans="1:14" s="115" customFormat="1" ht="12.75">
      <c r="A59" s="58" t="s">
        <v>44</v>
      </c>
      <c r="B59" s="134" t="s">
        <v>81</v>
      </c>
      <c r="C59" s="59"/>
      <c r="D59" s="55"/>
      <c r="E59" s="55"/>
      <c r="F59" s="56"/>
      <c r="G59" s="55"/>
      <c r="H59" s="55"/>
      <c r="I59" s="55"/>
      <c r="L59" s="117"/>
      <c r="M59" s="118"/>
      <c r="N59" s="118"/>
    </row>
    <row r="60" spans="1:14" s="115" customFormat="1" ht="12.75">
      <c r="A60" s="58" t="s">
        <v>45</v>
      </c>
      <c r="B60" s="136" t="s">
        <v>81</v>
      </c>
      <c r="C60" s="59"/>
      <c r="D60" s="55"/>
      <c r="E60" s="55"/>
      <c r="F60" s="56"/>
      <c r="G60" s="55"/>
      <c r="H60" s="55"/>
      <c r="I60" s="55"/>
      <c r="L60" s="117"/>
      <c r="M60" s="118"/>
      <c r="N60" s="118"/>
    </row>
    <row r="61" spans="1:14" s="115" customFormat="1" ht="12.75">
      <c r="A61" s="55"/>
      <c r="B61" s="55"/>
      <c r="C61" s="59"/>
      <c r="D61" s="55"/>
      <c r="E61" s="55"/>
      <c r="F61" s="56"/>
      <c r="G61" s="55"/>
      <c r="H61" s="55"/>
      <c r="I61" s="55"/>
      <c r="L61" s="117"/>
      <c r="M61" s="118"/>
      <c r="N61" s="118"/>
    </row>
    <row r="62" ht="12"/>
    <row r="63" spans="1:14" s="121" customFormat="1" ht="12.75">
      <c r="A63" s="72"/>
      <c r="B63" s="72"/>
      <c r="C63" s="72"/>
      <c r="D63" s="69"/>
      <c r="E63" s="70"/>
      <c r="F63" s="70"/>
      <c r="G63" s="71"/>
      <c r="H63" s="70"/>
      <c r="I63" s="70"/>
      <c r="J63" s="120"/>
      <c r="K63" s="120"/>
      <c r="L63" s="120"/>
      <c r="M63" s="120"/>
      <c r="N63" s="120"/>
    </row>
    <row r="64" spans="1:14" s="121" customFormat="1" ht="12.75">
      <c r="A64" s="72"/>
      <c r="B64" s="72"/>
      <c r="C64" s="72"/>
      <c r="D64" s="69"/>
      <c r="E64" s="70"/>
      <c r="F64" s="70"/>
      <c r="G64" s="71"/>
      <c r="H64" s="70"/>
      <c r="I64" s="70"/>
      <c r="J64" s="120"/>
      <c r="K64" s="120"/>
      <c r="L64" s="120"/>
      <c r="M64" s="120"/>
      <c r="N64" s="120"/>
    </row>
    <row r="65" spans="1:4" ht="12.75">
      <c r="A65" s="50"/>
      <c r="B65" s="50"/>
      <c r="C65" s="50"/>
      <c r="D65" s="55"/>
    </row>
    <row r="66" spans="1:4" ht="12.75">
      <c r="A66" s="50"/>
      <c r="B66" s="50"/>
      <c r="C66" s="50"/>
      <c r="D66" s="55"/>
    </row>
    <row r="67" spans="1:3" ht="12">
      <c r="A67" s="50"/>
      <c r="B67" s="50"/>
      <c r="C67" s="50"/>
    </row>
    <row r="68" spans="1:3" ht="12.75">
      <c r="A68" s="53"/>
      <c r="B68" s="52"/>
      <c r="C68" s="53"/>
    </row>
    <row r="71" ht="12"/>
    <row r="72" ht="12"/>
    <row r="73" ht="12"/>
    <row r="74" ht="12"/>
    <row r="75" ht="12"/>
    <row r="76" ht="12"/>
    <row r="77" ht="12"/>
    <row r="78" ht="12"/>
    <row r="79" ht="12"/>
    <row r="80" ht="12"/>
    <row r="81" ht="12"/>
    <row r="82" ht="12"/>
    <row r="83" ht="12"/>
    <row r="84" ht="12"/>
    <row r="85" ht="12"/>
    <row r="86" ht="12"/>
    <row r="87" ht="12"/>
  </sheetData>
  <sheetProtection sheet="1"/>
  <hyperlinks>
    <hyperlink ref="E23" r:id="rId1" display="http://re.jrc.ec.europa.eu/pvgis/apps3/pvest.php#"/>
    <hyperlink ref="D38" r:id="rId2" display="www.kfw.de"/>
  </hyperlinks>
  <printOptions horizontalCentered="1"/>
  <pageMargins left="0.7874015748031497" right="0.7874015748031497" top="0.984251968503937" bottom="0.984251968503937" header="0.5118110236220472" footer="0.5118110236220472"/>
  <pageSetup horizontalDpi="300" verticalDpi="300" orientation="portrait" paperSize="9" r:id="rId6"/>
  <headerFooter alignWithMargins="0">
    <oddHeader>&amp;C&amp;F</oddHeader>
    <oddFooter>&amp;C&amp;A</oddFooter>
  </headerFooter>
  <drawing r:id="rId5"/>
  <legacyDrawing r:id="rId4"/>
</worksheet>
</file>

<file path=xl/worksheets/sheet3.xml><?xml version="1.0" encoding="utf-8"?>
<worksheet xmlns="http://schemas.openxmlformats.org/spreadsheetml/2006/main" xmlns:r="http://schemas.openxmlformats.org/officeDocument/2006/relationships">
  <dimension ref="A1:V32"/>
  <sheetViews>
    <sheetView zoomScalePageLayoutView="0" workbookViewId="0" topLeftCell="A1">
      <selection activeCell="D8" sqref="D8"/>
    </sheetView>
  </sheetViews>
  <sheetFormatPr defaultColWidth="10.421875" defaultRowHeight="12.75"/>
  <cols>
    <col min="1" max="1" width="4.421875" style="3" customWidth="1"/>
    <col min="2" max="2" width="10.28125" style="3" customWidth="1"/>
    <col min="3" max="7" width="10.421875" style="4" customWidth="1"/>
    <col min="8" max="8" width="10.421875" style="5" customWidth="1"/>
    <col min="9" max="9" width="10.421875" style="83" customWidth="1"/>
    <col min="10" max="10" width="10.421875" style="4" customWidth="1"/>
    <col min="11" max="12" width="10.421875" style="5" customWidth="1"/>
    <col min="13" max="13" width="10.421875" style="83" customWidth="1"/>
    <col min="14" max="16" width="10.421875" style="4" customWidth="1"/>
    <col min="17" max="17" width="10.421875" style="83" customWidth="1"/>
    <col min="18" max="20" width="10.421875" style="4" customWidth="1"/>
    <col min="21" max="21" width="10.421875" style="6" customWidth="1"/>
    <col min="22" max="16384" width="10.421875" style="3" customWidth="1"/>
  </cols>
  <sheetData>
    <row r="1" spans="1:18" s="10" customFormat="1" ht="15.75">
      <c r="A1" s="16" t="str">
        <f>Parameter!A1</f>
        <v>Wirtschaftlichkeit von Solarstrom</v>
      </c>
      <c r="B1" s="16"/>
      <c r="C1" s="16"/>
      <c r="D1" s="16"/>
      <c r="E1" s="16"/>
      <c r="F1" s="16"/>
      <c r="G1" s="16"/>
      <c r="H1" s="16"/>
      <c r="I1" s="77"/>
      <c r="J1" s="9"/>
      <c r="K1" s="9"/>
      <c r="L1" s="9"/>
      <c r="M1" s="84"/>
      <c r="N1" s="9"/>
      <c r="O1" s="9"/>
      <c r="P1" s="9"/>
      <c r="Q1" s="84"/>
      <c r="R1" s="9"/>
    </row>
    <row r="2" spans="1:18" s="13" customFormat="1" ht="12.75">
      <c r="A2" s="22" t="str">
        <f>Parameter!A2</f>
        <v>Alfred Körblein, Umweltinstitut München e.V.</v>
      </c>
      <c r="B2" s="22"/>
      <c r="C2" s="23"/>
      <c r="D2" s="23"/>
      <c r="E2" s="23"/>
      <c r="F2" s="23"/>
      <c r="G2" s="23"/>
      <c r="H2" s="23"/>
      <c r="I2" s="78"/>
      <c r="J2" s="14"/>
      <c r="K2" s="14"/>
      <c r="L2" s="14"/>
      <c r="M2" s="85"/>
      <c r="N2" s="14"/>
      <c r="O2" s="14"/>
      <c r="P2" s="14"/>
      <c r="Q2" s="85"/>
      <c r="R2" s="14"/>
    </row>
    <row r="3" spans="1:18" s="13" customFormat="1" ht="12.75">
      <c r="A3" s="22" t="str">
        <f>Parameter!A3</f>
        <v>Stand: 16.04.2012</v>
      </c>
      <c r="B3" s="22"/>
      <c r="C3" s="23"/>
      <c r="D3" s="23"/>
      <c r="E3" s="23"/>
      <c r="F3" s="23"/>
      <c r="G3" s="23"/>
      <c r="H3" s="23"/>
      <c r="I3" s="78"/>
      <c r="J3" s="14"/>
      <c r="K3" s="14"/>
      <c r="L3" s="14"/>
      <c r="M3" s="85"/>
      <c r="N3" s="14"/>
      <c r="O3" s="14"/>
      <c r="P3" s="14"/>
      <c r="Q3" s="85"/>
      <c r="R3" s="14"/>
    </row>
    <row r="4" spans="1:18" s="12" customFormat="1" ht="12.75">
      <c r="A4" s="8"/>
      <c r="B4" s="8"/>
      <c r="C4" s="8"/>
      <c r="D4" s="8"/>
      <c r="E4" s="8"/>
      <c r="F4" s="8"/>
      <c r="G4" s="8"/>
      <c r="H4" s="8"/>
      <c r="I4" s="78"/>
      <c r="J4" s="11"/>
      <c r="K4" s="11"/>
      <c r="L4" s="11"/>
      <c r="M4" s="86"/>
      <c r="N4" s="11"/>
      <c r="O4" s="11"/>
      <c r="P4" s="11"/>
      <c r="Q4" s="86"/>
      <c r="R4" s="11"/>
    </row>
    <row r="5" spans="2:22" s="30" customFormat="1" ht="12.75">
      <c r="B5" s="27" t="s">
        <v>111</v>
      </c>
      <c r="C5" s="27" t="s">
        <v>113</v>
      </c>
      <c r="D5" s="30" t="s">
        <v>60</v>
      </c>
      <c r="E5" s="27" t="s">
        <v>11</v>
      </c>
      <c r="F5" s="27" t="s">
        <v>57</v>
      </c>
      <c r="G5" s="27" t="s">
        <v>29</v>
      </c>
      <c r="H5" s="28"/>
      <c r="I5" s="79"/>
      <c r="J5" s="27" t="s">
        <v>30</v>
      </c>
      <c r="K5" s="28"/>
      <c r="L5" s="28"/>
      <c r="M5" s="79"/>
      <c r="N5" s="27" t="s">
        <v>8</v>
      </c>
      <c r="O5" s="27" t="s">
        <v>67</v>
      </c>
      <c r="P5" s="27" t="s">
        <v>41</v>
      </c>
      <c r="Q5" s="79" t="s">
        <v>16</v>
      </c>
      <c r="R5" s="27" t="s">
        <v>7</v>
      </c>
      <c r="S5" s="27" t="s">
        <v>24</v>
      </c>
      <c r="T5" s="29" t="s">
        <v>6</v>
      </c>
      <c r="U5" s="27" t="s">
        <v>15</v>
      </c>
      <c r="V5" s="30" t="s">
        <v>26</v>
      </c>
    </row>
    <row r="6" spans="1:21" s="30" customFormat="1" ht="12.75">
      <c r="A6" s="27" t="s">
        <v>2</v>
      </c>
      <c r="B6" s="30" t="s">
        <v>59</v>
      </c>
      <c r="C6" s="27" t="s">
        <v>114</v>
      </c>
      <c r="D6" s="27" t="s">
        <v>61</v>
      </c>
      <c r="E6" s="27" t="s">
        <v>12</v>
      </c>
      <c r="F6" s="27"/>
      <c r="G6" s="27" t="s">
        <v>3</v>
      </c>
      <c r="H6" s="28" t="s">
        <v>19</v>
      </c>
      <c r="I6" s="79" t="s">
        <v>17</v>
      </c>
      <c r="J6" s="28" t="s">
        <v>34</v>
      </c>
      <c r="K6" s="28" t="s">
        <v>3</v>
      </c>
      <c r="L6" s="28" t="s">
        <v>19</v>
      </c>
      <c r="M6" s="79" t="s">
        <v>17</v>
      </c>
      <c r="N6" s="27" t="s">
        <v>4</v>
      </c>
      <c r="O6" s="27" t="s">
        <v>66</v>
      </c>
      <c r="Q6" s="80"/>
      <c r="R6" s="27" t="s">
        <v>4</v>
      </c>
      <c r="S6" s="27"/>
      <c r="T6" s="27" t="s">
        <v>14</v>
      </c>
      <c r="U6" s="27"/>
    </row>
    <row r="7" spans="1:22" s="30" customFormat="1" ht="12.75">
      <c r="A7" s="32">
        <v>-1</v>
      </c>
      <c r="B7" s="32"/>
      <c r="C7" s="141"/>
      <c r="D7" s="27"/>
      <c r="E7" s="31"/>
      <c r="F7" s="31"/>
      <c r="G7" s="27"/>
      <c r="H7" s="28"/>
      <c r="I7" s="140">
        <f>Parameter!B35</f>
        <v>10000</v>
      </c>
      <c r="J7" s="32"/>
      <c r="K7" s="28"/>
      <c r="L7" s="28"/>
      <c r="M7" s="80">
        <f>Parameter!B43</f>
        <v>0</v>
      </c>
      <c r="N7" s="32"/>
      <c r="O7" s="32">
        <f>-Parameter!B18*Parameter!B58</f>
        <v>0</v>
      </c>
      <c r="P7" s="31"/>
      <c r="Q7" s="80">
        <f>Parameter!B18</f>
        <v>10000</v>
      </c>
      <c r="S7" s="32">
        <f>-O7*Parameter!$B$56</f>
        <v>0</v>
      </c>
      <c r="T7" s="32">
        <f>N7+S7</f>
        <v>0</v>
      </c>
      <c r="U7" s="32">
        <f>T7</f>
        <v>0</v>
      </c>
      <c r="V7" s="32">
        <f>U7</f>
        <v>0</v>
      </c>
    </row>
    <row r="8" spans="1:22" s="33" customFormat="1" ht="12.75">
      <c r="A8" s="32">
        <v>0</v>
      </c>
      <c r="B8" s="32">
        <f>Parameter!D27*Parameter!$B$23*Parameter!$B$17*(1-Parameter!$B$24)^A8</f>
        <v>3091.5000000000005</v>
      </c>
      <c r="C8" s="32">
        <f>IF(Parameter!B$25&lt;1-Parameter!B$29,B8*(Parameter!B$29*Parameter!B$31+(1-Parameter!B$29-Parameter!B$25)*Parameter!B$53),(1-Parameter!B$25)*B8*Parameter!B$31)</f>
        <v>477.45126000000016</v>
      </c>
      <c r="D8" s="32">
        <f>IF(AND(Parameter!$B$26=2012,Parameter!$B$27&gt;3),Parameter!$B$25*B8*Parameter!B$52*(1+Parameter!B$54)^A8*(1+Parameter!B$55),Parameter!B$25*B8*(Parameter!B$52*(1+Parameter!B$54)^A8+Parameter!B$32)*(1+Parameter!B$55))</f>
        <v>147.15540000000004</v>
      </c>
      <c r="E8" s="32">
        <f>-Parameter!B21*Parameter!B18*(13-Parameter!$B$27)/12-Parameter!$B$20</f>
        <v>-400</v>
      </c>
      <c r="F8" s="32">
        <f>-Parameter!$B$22*C8</f>
        <v>0</v>
      </c>
      <c r="G8" s="32">
        <f>-(13-Parameter!B27)/12*I7*Parameter!B38</f>
        <v>-276.66666666666663</v>
      </c>
      <c r="H8" s="32">
        <f>IF(OR(A8&gt;Parameter!$B$41,A8&lt;Parameter!$B$42),0,IF(A8=Parameter!$B$42,-I$7/(Parameter!$B$41-Parameter!$B$42)*(13-Parameter!B$27)/12,IF(A8=Parameter!$B$41,-I$7/(Parameter!$B$41-Parameter!$B$42)*(Parameter!$B$27-1)/12,-I$7/(Parameter!$B$41-Parameter!$B$42))))</f>
        <v>0</v>
      </c>
      <c r="I8" s="81">
        <f aca="true" t="shared" si="0" ref="I8:I18">I7+H8</f>
        <v>10000</v>
      </c>
      <c r="J8" s="32">
        <f>IF(A8&lt;=Parameter!$B$46,K8,IF(A8&gt;Parameter!B$45,0,PMT(Parameter!$B$44,Parameter!$B$45-Parameter!$B$46,Parameter!$B$43)))</f>
        <v>0</v>
      </c>
      <c r="K8" s="32">
        <f>-M7*Parameter!$B$44*(13-Parameter!B27)/12</f>
        <v>0</v>
      </c>
      <c r="L8" s="32">
        <f>IF(A8&lt;=Parameter!$B$46,0,J8-K8)</f>
        <v>0</v>
      </c>
      <c r="M8" s="81">
        <f>M7+L8</f>
        <v>0</v>
      </c>
      <c r="N8" s="32">
        <f>-Parameter!B13+SUM(C8:H8)+J8+(Parameter!B18+Parameter!B19)*Parameter!B55</f>
        <v>-1077.0600066666666</v>
      </c>
      <c r="O8" s="32">
        <f>IF(Parameter!B$59="ja",-Q$7*0.19,0)</f>
        <v>0</v>
      </c>
      <c r="P8" s="31">
        <f>IF(Parameter!$B$60="ja",-Q7*0.125*(13-Parameter!B27)/12,-Q$7*0.05*(13-Parameter!B27)/12)</f>
        <v>-333.3333333333333</v>
      </c>
      <c r="Q8" s="81">
        <f>Q7+P8</f>
        <v>9666.666666666666</v>
      </c>
      <c r="R8" s="32">
        <f>C8+E8+F8+G8+K8+O8+P8+Parameter!B$18*Parameter!B$58-IF(Parameter!B$36&lt;0.95,0.05*Parameter!B$35,(1-Parameter!B$36)*Parameter!B$35)</f>
        <v>-532.5487399999997</v>
      </c>
      <c r="S8" s="32">
        <f>-R8*Parameter!$B$56</f>
        <v>159.76462199999992</v>
      </c>
      <c r="T8" s="32">
        <f>N8+S8</f>
        <v>-917.2953846666667</v>
      </c>
      <c r="U8" s="32">
        <f>T8/(1+Parameter!$B$50)^A8</f>
        <v>-917.2953846666667</v>
      </c>
      <c r="V8" s="32">
        <f>V7+U8</f>
        <v>-917.2953846666667</v>
      </c>
    </row>
    <row r="9" spans="1:22" s="34" customFormat="1" ht="12" customHeight="1">
      <c r="A9" s="32">
        <v>1</v>
      </c>
      <c r="B9" s="32">
        <f>Parameter!$B$23*Parameter!$B$17*(1-Parameter!$B$24)^A9</f>
        <v>4477.5</v>
      </c>
      <c r="C9" s="32">
        <f>IF(Parameter!B$25&lt;1-Parameter!B$29,B9*(Parameter!B$29*Parameter!B$31+(1-Parameter!B$29-Parameter!B$25)*Parameter!B$53),(1-Parameter!B$25)*B9*Parameter!B$31)</f>
        <v>691.5051</v>
      </c>
      <c r="D9" s="32">
        <f>IF(AND(Parameter!$B$26=2012,Parameter!$B$27&gt;3),Parameter!$B$25*B9*Parameter!B$52*(1+Parameter!B$54)^A9*(1+Parameter!B$55),Parameter!B$25*B9*(Parameter!B$52*(1+Parameter!B$54)^A9+Parameter!B$32)*(1+Parameter!B$55))</f>
        <v>219.52287000000004</v>
      </c>
      <c r="E9" s="32">
        <f>-Parameter!B21*Parameter!B18</f>
        <v>-150</v>
      </c>
      <c r="F9" s="32">
        <f>-Parameter!$B$22*C9</f>
        <v>0</v>
      </c>
      <c r="G9" s="32">
        <f>IF(A9=Parameter!B$41,IF(A9&gt;Parameter!B$39,-I8*Parameter!B$40*(13-Parameter!B$27)/12,-I8*Parameter!B$38*(13-Parameter!B$27)/12),IF(A9&lt;Parameter!B$39,-I8*Parameter!B$38,-I8*Parameter!B$40))</f>
        <v>-415</v>
      </c>
      <c r="H9" s="32">
        <f>IF(OR(A9&gt;Parameter!$B$41,A9&lt;Parameter!$B$42),0,IF(A9=Parameter!$B$42,-I$7/(Parameter!$B$41-Parameter!$B$42)*(13-Parameter!B$27)/12,IF(A9=Parameter!$B$41,-I$7/(Parameter!$B$41-Parameter!$B$42)*(Parameter!$B$27-1)/12,-I$7/(Parameter!$B$41-Parameter!$B$42))))</f>
        <v>0</v>
      </c>
      <c r="I9" s="81">
        <f t="shared" si="0"/>
        <v>10000</v>
      </c>
      <c r="J9" s="32">
        <f>IF(A9&lt;=Parameter!$B$46,K9,IF(A9&gt;Parameter!B$45,0,PMT(Parameter!$B$44,Parameter!$B$45-Parameter!$B$46,Parameter!$B$43)))</f>
        <v>0</v>
      </c>
      <c r="K9" s="32">
        <f>-M8*Parameter!$B$44</f>
        <v>0</v>
      </c>
      <c r="L9" s="32">
        <f>IF(A9&lt;=Parameter!$B$46,0,J9-K9)</f>
        <v>0</v>
      </c>
      <c r="M9" s="81">
        <f aca="true" t="shared" si="1" ref="M9:M28">M8+L9</f>
        <v>0</v>
      </c>
      <c r="N9" s="32">
        <f>SUM(C9:H9)+J9</f>
        <v>346.02797</v>
      </c>
      <c r="O9" s="32">
        <v>0</v>
      </c>
      <c r="P9" s="31">
        <f>IF(Parameter!$B$60="ja",-Q8*0.125,-Q$7*0.05)</f>
        <v>-500</v>
      </c>
      <c r="Q9" s="80">
        <f>Q8+P9</f>
        <v>9166.666666666666</v>
      </c>
      <c r="R9" s="32">
        <f>C9+E9+F9+G9+K9+O9+P9</f>
        <v>-373.49490000000003</v>
      </c>
      <c r="S9" s="32">
        <f>-R9*Parameter!$B$56</f>
        <v>112.04847000000001</v>
      </c>
      <c r="T9" s="32">
        <f aca="true" t="shared" si="2" ref="T9:T28">N9+S9</f>
        <v>458.07644</v>
      </c>
      <c r="U9" s="32">
        <f>T9/(1+Parameter!$B$50)^A9</f>
        <v>440.4581153846154</v>
      </c>
      <c r="V9" s="32">
        <f>V8+U9</f>
        <v>-476.8372692820513</v>
      </c>
    </row>
    <row r="10" spans="1:22" s="34" customFormat="1" ht="12.75">
      <c r="A10" s="32">
        <v>2</v>
      </c>
      <c r="B10" s="32">
        <f>Parameter!$B$23*Parameter!$B$17*(1-Parameter!$B$24)^A10</f>
        <v>4455.1125</v>
      </c>
      <c r="C10" s="32">
        <f>IF(Parameter!B$25&lt;1-Parameter!B$29,B10*(Parameter!B$29*Parameter!B$31+(1-Parameter!B$29-Parameter!B$25)*Parameter!B$53),(1-Parameter!B$25)*B10*Parameter!B$31)</f>
        <v>688.0475745</v>
      </c>
      <c r="D10" s="32">
        <f>IF(AND(Parameter!$B$26=2012,Parameter!$B$27&gt;3),Parameter!$B$25*B10*Parameter!B$52*(1+Parameter!B$54)^A10*(1+Parameter!B$55),Parameter!B$25*B10*(Parameter!B$52*(1+Parameter!B$54)^A10+Parameter!B$32)*(1+Parameter!B$55))</f>
        <v>224.9780133195</v>
      </c>
      <c r="E10" s="32">
        <f>E9*(1+Parameter!$B$49)</f>
        <v>-153</v>
      </c>
      <c r="F10" s="32">
        <f>-Parameter!$B$22*C10</f>
        <v>0</v>
      </c>
      <c r="G10" s="32">
        <f>IF(A10=Parameter!B$41,IF(A10&gt;Parameter!B$39,-I9*Parameter!B$40*(13-Parameter!B$27)/12,-I9*Parameter!B$38*(13-Parameter!B$27)/12),IF(A10&lt;Parameter!B$39,-I9*Parameter!B$38,-I9*Parameter!B$40))</f>
        <v>-415</v>
      </c>
      <c r="H10" s="32">
        <f>IF(OR(A10&gt;Parameter!$B$41,A10&lt;Parameter!$B$42),0,IF(A10=Parameter!$B$42,-I$7/(Parameter!$B$41-Parameter!$B$42)*(13-Parameter!B$27)/12,IF(A10=Parameter!$B$41,-I$7/(Parameter!$B$41-Parameter!$B$42)*(Parameter!$B$27-1)/12,-I$7/(Parameter!$B$41-Parameter!$B$42))))</f>
        <v>-833.3333333333334</v>
      </c>
      <c r="I10" s="81">
        <f t="shared" si="0"/>
        <v>9166.666666666666</v>
      </c>
      <c r="J10" s="32">
        <f>IF(A10&lt;=Parameter!$B$46,K10,IF(A10&gt;Parameter!B$45,0,PMT(Parameter!$B$44,Parameter!$B$45-Parameter!$B$46,Parameter!$B$43)))</f>
        <v>0</v>
      </c>
      <c r="K10" s="32">
        <f>-M9*Parameter!$B$44</f>
        <v>0</v>
      </c>
      <c r="L10" s="32">
        <f>IF(A10&lt;=Parameter!$B$46,0,J10-K10)</f>
        <v>0</v>
      </c>
      <c r="M10" s="81">
        <f t="shared" si="1"/>
        <v>0</v>
      </c>
      <c r="N10" s="32">
        <f aca="true" t="shared" si="3" ref="N10:N28">SUM(C10:H10)+J10</f>
        <v>-488.3077455138333</v>
      </c>
      <c r="O10" s="32">
        <v>0</v>
      </c>
      <c r="P10" s="31">
        <f>IF(Parameter!$B$60="ja",-Q9*0.125,-Q$7*0.05)</f>
        <v>-500</v>
      </c>
      <c r="Q10" s="80">
        <f aca="true" t="shared" si="4" ref="Q10:Q27">Q9+P10</f>
        <v>8666.666666666666</v>
      </c>
      <c r="R10" s="32">
        <f aca="true" t="shared" si="5" ref="R10:R28">C10+E10+F10+G10+K10+O10+P10</f>
        <v>-379.9524255</v>
      </c>
      <c r="S10" s="32">
        <f>-R10*Parameter!$B$56</f>
        <v>113.98572765</v>
      </c>
      <c r="T10" s="32">
        <f t="shared" si="2"/>
        <v>-374.3220178638333</v>
      </c>
      <c r="U10" s="32">
        <f>T10/(1+Parameter!$B$50)^A10</f>
        <v>-346.0817472853488</v>
      </c>
      <c r="V10" s="32">
        <f aca="true" t="shared" si="6" ref="V10:V27">V9+U10</f>
        <v>-822.9190165674001</v>
      </c>
    </row>
    <row r="11" spans="1:22" s="34" customFormat="1" ht="12.75">
      <c r="A11" s="32">
        <v>3</v>
      </c>
      <c r="B11" s="32">
        <f>Parameter!$B$23*Parameter!$B$17*(1-Parameter!$B$24)^A11</f>
        <v>4432.8369375</v>
      </c>
      <c r="C11" s="32">
        <f>IF(Parameter!B$25&lt;1-Parameter!B$29,B11*(Parameter!B$29*Parameter!B$31+(1-Parameter!B$29-Parameter!B$25)*Parameter!B$53),(1-Parameter!B$25)*B11*Parameter!B$31)</f>
        <v>684.6073366275001</v>
      </c>
      <c r="D11" s="32">
        <f>IF(AND(Parameter!$B$26=2012,Parameter!$B$27&gt;3),Parameter!$B$25*B11*Parameter!B$52*(1+Parameter!B$54)^A11*(1+Parameter!B$55),Parameter!B$25*B11*(Parameter!B$52*(1+Parameter!B$54)^A11+Parameter!B$32)*(1+Parameter!B$55))</f>
        <v>230.5687169504896</v>
      </c>
      <c r="E11" s="32">
        <f>E10*(1+Parameter!$B$49)</f>
        <v>-156.06</v>
      </c>
      <c r="F11" s="32">
        <f>-Parameter!$B$22*C11</f>
        <v>0</v>
      </c>
      <c r="G11" s="32">
        <f>IF(A11=Parameter!B$41,IF(A11&gt;Parameter!B$39,-I10*Parameter!B$40*(13-Parameter!B$27)/12,-I10*Parameter!B$38*(13-Parameter!B$27)/12),IF(A11&lt;Parameter!B$39,-I10*Parameter!B$38,-I10*Parameter!B$40))</f>
        <v>-380.4166666666667</v>
      </c>
      <c r="H11" s="32">
        <f>IF(OR(A11&gt;Parameter!$B$41,A11&lt;Parameter!$B$42),0,IF(A11=Parameter!$B$42,-I$7/(Parameter!$B$41-Parameter!$B$42)*(13-Parameter!B$27)/12,IF(A11=Parameter!$B$41,-I$7/(Parameter!$B$41-Parameter!$B$42)*(Parameter!$B$27-1)/12,-I$7/(Parameter!$B$41-Parameter!$B$42))))</f>
        <v>-1250</v>
      </c>
      <c r="I11" s="81">
        <f t="shared" si="0"/>
        <v>7916.666666666666</v>
      </c>
      <c r="J11" s="32">
        <f>IF(A11&lt;=Parameter!$B$46,K11,IF(A11&gt;Parameter!B$45,0,PMT(Parameter!$B$44,Parameter!$B$45-Parameter!$B$46,Parameter!$B$43)))</f>
        <v>0</v>
      </c>
      <c r="K11" s="32">
        <f>-M10*Parameter!$B$44</f>
        <v>0</v>
      </c>
      <c r="L11" s="32">
        <f>IF(A11&lt;=Parameter!$B$46,0,J11-K11)</f>
        <v>0</v>
      </c>
      <c r="M11" s="81">
        <f t="shared" si="1"/>
        <v>0</v>
      </c>
      <c r="N11" s="32">
        <f t="shared" si="3"/>
        <v>-871.300613088677</v>
      </c>
      <c r="O11" s="32">
        <v>0</v>
      </c>
      <c r="P11" s="31">
        <f>IF(Parameter!$B$60="ja",-Q10*0.125,-Q$7*0.05)</f>
        <v>-500</v>
      </c>
      <c r="Q11" s="80">
        <f t="shared" si="4"/>
        <v>8166.666666666666</v>
      </c>
      <c r="R11" s="32">
        <f t="shared" si="5"/>
        <v>-351.86933003916664</v>
      </c>
      <c r="S11" s="32">
        <f>-R11*Parameter!$B$56</f>
        <v>105.56079901174999</v>
      </c>
      <c r="T11" s="32">
        <f t="shared" si="2"/>
        <v>-765.739814076927</v>
      </c>
      <c r="U11" s="32">
        <f>T11/(1+Parameter!$B$50)^A11</f>
        <v>-680.7399064037314</v>
      </c>
      <c r="V11" s="32">
        <f t="shared" si="6"/>
        <v>-1503.6589229711317</v>
      </c>
    </row>
    <row r="12" spans="1:22" s="34" customFormat="1" ht="12.75">
      <c r="A12" s="32">
        <v>4</v>
      </c>
      <c r="B12" s="32">
        <f>Parameter!$B$23*Parameter!$B$17*(1-Parameter!$B$24)^A12</f>
        <v>4410.6727528125</v>
      </c>
      <c r="C12" s="32">
        <f>IF(Parameter!B$25&lt;1-Parameter!B$29,B12*(Parameter!B$29*Parameter!B$31+(1-Parameter!B$29-Parameter!B$25)*Parameter!B$53),(1-Parameter!B$25)*B12*Parameter!B$31)</f>
        <v>681.1842999443626</v>
      </c>
      <c r="D12" s="32">
        <f>IF(AND(Parameter!$B$26=2012,Parameter!$B$27&gt;3),Parameter!$B$25*B12*Parameter!B$52*(1+Parameter!B$54)^A12*(1+Parameter!B$55),Parameter!B$25*B12*(Parameter!B$52*(1+Parameter!B$54)^A12+Parameter!B$32)*(1+Parameter!B$55))</f>
        <v>236.29834956670925</v>
      </c>
      <c r="E12" s="32">
        <f>E11*(1+Parameter!$B$49)</f>
        <v>-159.18120000000002</v>
      </c>
      <c r="F12" s="32">
        <f>-Parameter!$B$22*C12</f>
        <v>0</v>
      </c>
      <c r="G12" s="32">
        <f>IF(A12=Parameter!B$41,IF(A12&gt;Parameter!B$39,-I11*Parameter!B$40*(13-Parameter!B$27)/12,-I11*Parameter!B$38*(13-Parameter!B$27)/12),IF(A12&lt;Parameter!B$39,-I11*Parameter!B$38,-I11*Parameter!B$40))</f>
        <v>-328.5416666666667</v>
      </c>
      <c r="H12" s="32">
        <f>IF(OR(A12&gt;Parameter!$B$41,A12&lt;Parameter!$B$42),0,IF(A12=Parameter!$B$42,-I$7/(Parameter!$B$41-Parameter!$B$42)*(13-Parameter!B$27)/12,IF(A12=Parameter!$B$41,-I$7/(Parameter!$B$41-Parameter!$B$42)*(Parameter!$B$27-1)/12,-I$7/(Parameter!$B$41-Parameter!$B$42))))</f>
        <v>-1250</v>
      </c>
      <c r="I12" s="81">
        <f t="shared" si="0"/>
        <v>6666.666666666666</v>
      </c>
      <c r="J12" s="32">
        <f>IF(A12&lt;=Parameter!$B$46,K12,IF(A12&gt;Parameter!B$45,0,PMT(Parameter!$B$44,Parameter!$B$45-Parameter!$B$46,Parameter!$B$43)))</f>
        <v>0</v>
      </c>
      <c r="K12" s="32">
        <f>-M11*Parameter!$B$44</f>
        <v>0</v>
      </c>
      <c r="L12" s="32">
        <f>IF(A12&lt;=Parameter!$B$46,0,J12-K12)</f>
        <v>0</v>
      </c>
      <c r="M12" s="81">
        <f t="shared" si="1"/>
        <v>0</v>
      </c>
      <c r="N12" s="32">
        <f t="shared" si="3"/>
        <v>-820.2402171555948</v>
      </c>
      <c r="O12" s="32">
        <f>IF(Parameter!B$59="ja",-Q$7*0.01,0)</f>
        <v>0</v>
      </c>
      <c r="P12" s="31">
        <f>IF(Parameter!$B$60="ja",-Q11*0.125,-Q$7*0.05)</f>
        <v>-500</v>
      </c>
      <c r="Q12" s="80">
        <f t="shared" si="4"/>
        <v>7666.666666666666</v>
      </c>
      <c r="R12" s="32">
        <f t="shared" si="5"/>
        <v>-306.5385667223041</v>
      </c>
      <c r="S12" s="32">
        <f>-R12*Parameter!$B$56</f>
        <v>91.96157001669123</v>
      </c>
      <c r="T12" s="32">
        <f t="shared" si="2"/>
        <v>-728.2786471389036</v>
      </c>
      <c r="U12" s="32">
        <f>T12/(1+Parameter!$B$50)^A12</f>
        <v>-622.5356398117935</v>
      </c>
      <c r="V12" s="32">
        <f t="shared" si="6"/>
        <v>-2126.1945627829255</v>
      </c>
    </row>
    <row r="13" spans="1:22" s="34" customFormat="1" ht="12.75">
      <c r="A13" s="32">
        <v>5</v>
      </c>
      <c r="B13" s="32">
        <f>Parameter!$B$23*Parameter!$B$17*(1-Parameter!$B$24)^A13</f>
        <v>4388.619389048438</v>
      </c>
      <c r="C13" s="32">
        <f>IF(Parameter!B$25&lt;1-Parameter!B$29,B13*(Parameter!B$29*Parameter!B$31+(1-Parameter!B$29-Parameter!B$25)*Parameter!B$53),(1-Parameter!B$25)*B13*Parameter!B$31)</f>
        <v>677.7783784446408</v>
      </c>
      <c r="D13" s="32">
        <f>IF(AND(Parameter!$B$26=2012,Parameter!$B$27&gt;3),Parameter!$B$25*B13*Parameter!B$52*(1+Parameter!B$54)^A13*(1+Parameter!B$55),Parameter!B$25*B13*(Parameter!B$52*(1+Parameter!B$54)^A13+Parameter!B$32)*(1+Parameter!B$55))</f>
        <v>242.17036355344197</v>
      </c>
      <c r="E13" s="32">
        <f>E12*(1+Parameter!$B$49)</f>
        <v>-162.36482400000003</v>
      </c>
      <c r="F13" s="32">
        <f>-Parameter!$B$22*C13</f>
        <v>0</v>
      </c>
      <c r="G13" s="32">
        <f>IF(A13=Parameter!B$41,IF(A13&gt;Parameter!B$39,-I12*Parameter!B$40*(13-Parameter!B$27)/12,-I12*Parameter!B$38*(13-Parameter!B$27)/12),IF(A13&lt;Parameter!B$39,-I12*Parameter!B$38,-I12*Parameter!B$40))</f>
        <v>-276.66666666666663</v>
      </c>
      <c r="H13" s="32">
        <f>IF(OR(A13&gt;Parameter!$B$41,A13&lt;Parameter!$B$42),0,IF(A13=Parameter!$B$42,-I$7/(Parameter!$B$41-Parameter!$B$42)*(13-Parameter!B$27)/12,IF(A13=Parameter!$B$41,-I$7/(Parameter!$B$41-Parameter!$B$42)*(Parameter!$B$27-1)/12,-I$7/(Parameter!$B$41-Parameter!$B$42))))</f>
        <v>-1250</v>
      </c>
      <c r="I13" s="81">
        <f t="shared" si="0"/>
        <v>5416.666666666666</v>
      </c>
      <c r="J13" s="32">
        <f>IF(A13&lt;=Parameter!$B$46,K13,IF(A13&gt;Parameter!B$45,0,PMT(Parameter!$B$44,Parameter!$B$45-Parameter!$B$46,Parameter!$B$43)))</f>
        <v>0</v>
      </c>
      <c r="K13" s="32">
        <f>-M12*Parameter!$B$44</f>
        <v>0</v>
      </c>
      <c r="L13" s="32">
        <f>IF(A13&lt;=Parameter!$B$46,0,J13-K13)</f>
        <v>0</v>
      </c>
      <c r="M13" s="81">
        <f t="shared" si="1"/>
        <v>0</v>
      </c>
      <c r="N13" s="32">
        <f t="shared" si="3"/>
        <v>-769.0827486685838</v>
      </c>
      <c r="O13" s="32"/>
      <c r="P13" s="31">
        <f>IF(Parameter!$B$60="ja",-Q12*0.125,-Q$7*0.05)</f>
        <v>-500</v>
      </c>
      <c r="Q13" s="80">
        <f>Q12+P13+SUM(O8:O12)</f>
        <v>7166.666666666666</v>
      </c>
      <c r="R13" s="32">
        <f t="shared" si="5"/>
        <v>-261.25311222202583</v>
      </c>
      <c r="S13" s="32">
        <f>-R13*Parameter!$B$56</f>
        <v>78.37593366660775</v>
      </c>
      <c r="T13" s="32">
        <f t="shared" si="2"/>
        <v>-690.7068150019761</v>
      </c>
      <c r="U13" s="32">
        <f>T13/(1+Parameter!$B$50)^A13</f>
        <v>-567.7106540735409</v>
      </c>
      <c r="V13" s="32">
        <f t="shared" si="6"/>
        <v>-2693.9052168564663</v>
      </c>
    </row>
    <row r="14" spans="1:22" s="34" customFormat="1" ht="12.75">
      <c r="A14" s="32">
        <v>6</v>
      </c>
      <c r="B14" s="32">
        <f>Parameter!$B$23*Parameter!$B$17*(1-Parameter!$B$24)^A14</f>
        <v>4366.676292103196</v>
      </c>
      <c r="C14" s="32">
        <f>IF(Parameter!B$25&lt;1-Parameter!B$29,B14*(Parameter!B$29*Parameter!B$31+(1-Parameter!B$29-Parameter!B$25)*Parameter!B$53),(1-Parameter!B$25)*B14*Parameter!B$31)</f>
        <v>674.3894865524176</v>
      </c>
      <c r="D14" s="32">
        <f>IF(AND(Parameter!$B$26=2012,Parameter!$B$27&gt;3),Parameter!$B$25*B14*Parameter!B$52*(1+Parameter!B$54)^A14*(1+Parameter!B$55),Parameter!B$25*B14*(Parameter!B$52*(1+Parameter!B$54)^A14+Parameter!B$32)*(1+Parameter!B$55))</f>
        <v>248.188297087745</v>
      </c>
      <c r="E14" s="32">
        <f>E13*(1+Parameter!$B$49)</f>
        <v>-165.61212048000004</v>
      </c>
      <c r="F14" s="32">
        <f>-Parameter!$B$22*C14</f>
        <v>0</v>
      </c>
      <c r="G14" s="32">
        <f>IF(A14=Parameter!B$41,IF(A14&gt;Parameter!B$39,-I13*Parameter!B$40*(13-Parameter!B$27)/12,-I13*Parameter!B$38*(13-Parameter!B$27)/12),IF(A14&lt;Parameter!B$39,-I13*Parameter!B$38,-I13*Parameter!B$40))</f>
        <v>-224.79166666666666</v>
      </c>
      <c r="H14" s="32">
        <f>IF(OR(A14&gt;Parameter!$B$41,A14&lt;Parameter!$B$42),0,IF(A14=Parameter!$B$42,-I$7/(Parameter!$B$41-Parameter!$B$42)*(13-Parameter!B$27)/12,IF(A14=Parameter!$B$41,-I$7/(Parameter!$B$41-Parameter!$B$42)*(Parameter!$B$27-1)/12,-I$7/(Parameter!$B$41-Parameter!$B$42))))</f>
        <v>-1250</v>
      </c>
      <c r="I14" s="81">
        <f t="shared" si="0"/>
        <v>4166.666666666666</v>
      </c>
      <c r="J14" s="32">
        <f>IF(A14&lt;=Parameter!$B$46,K14,IF(A14&gt;Parameter!B$45,0,PMT(Parameter!$B$44,Parameter!$B$45-Parameter!$B$46,Parameter!$B$43)))</f>
        <v>0</v>
      </c>
      <c r="K14" s="32">
        <f>-M13*Parameter!$B$44</f>
        <v>0</v>
      </c>
      <c r="L14" s="32">
        <f>IF(A14&lt;=Parameter!$B$46,0,J14-K14)</f>
        <v>0</v>
      </c>
      <c r="M14" s="81">
        <f t="shared" si="1"/>
        <v>0</v>
      </c>
      <c r="N14" s="32">
        <f t="shared" si="3"/>
        <v>-717.8260035065041</v>
      </c>
      <c r="O14" s="32"/>
      <c r="P14" s="31">
        <f>IF(Parameter!$B$60="nein",IF(Parameter!$B$59="ja",-Q$13/15,-Q$7*0.05),IF(Q13*0.125&gt;Q13/(21-A14),-Q13*0.125,-Q13/(21-A14)))</f>
        <v>-500</v>
      </c>
      <c r="Q14" s="80">
        <f t="shared" si="4"/>
        <v>6666.666666666666</v>
      </c>
      <c r="R14" s="32">
        <f t="shared" si="5"/>
        <v>-216.0143005942491</v>
      </c>
      <c r="S14" s="32">
        <f>-R14*Parameter!$B$56</f>
        <v>64.80429017827473</v>
      </c>
      <c r="T14" s="32">
        <f t="shared" si="2"/>
        <v>-653.0217133282293</v>
      </c>
      <c r="U14" s="32">
        <f>T14/(1+Parameter!$B$50)^A14</f>
        <v>-516.0925456604867</v>
      </c>
      <c r="V14" s="32">
        <f t="shared" si="6"/>
        <v>-3209.997762516953</v>
      </c>
    </row>
    <row r="15" spans="1:22" s="34" customFormat="1" ht="12.75">
      <c r="A15" s="32">
        <v>7</v>
      </c>
      <c r="B15" s="32">
        <f>Parameter!$B$23*Parameter!$B$17*(1-Parameter!$B$24)^A15</f>
        <v>4344.842910642679</v>
      </c>
      <c r="C15" s="32">
        <f>IF(Parameter!B$25&lt;1-Parameter!B$29,B15*(Parameter!B$29*Parameter!B$31+(1-Parameter!B$29-Parameter!B$25)*Parameter!B$53),(1-Parameter!B$25)*B15*Parameter!B$31)</f>
        <v>671.0175391196555</v>
      </c>
      <c r="D15" s="32">
        <f>IF(AND(Parameter!$B$26=2012,Parameter!$B$27&gt;3),Parameter!$B$25*B15*Parameter!B$52*(1+Parameter!B$54)^A15*(1+Parameter!B$55),Parameter!B$25*B15*(Parameter!B$52*(1+Parameter!B$54)^A15+Parameter!B$32)*(1+Parameter!B$55))</f>
        <v>254.35577627037551</v>
      </c>
      <c r="E15" s="32">
        <f>E14*(1+Parameter!$B$49)</f>
        <v>-168.92436288960005</v>
      </c>
      <c r="F15" s="32">
        <f>-Parameter!$B$22*C15</f>
        <v>0</v>
      </c>
      <c r="G15" s="32">
        <f>IF(A15=Parameter!B$41,IF(A15&gt;Parameter!B$39,-I14*Parameter!B$40*(13-Parameter!B$27)/12,-I14*Parameter!B$38*(13-Parameter!B$27)/12),IF(A15&lt;Parameter!B$39,-I14*Parameter!B$38,-I14*Parameter!B$40))</f>
        <v>-172.91666666666666</v>
      </c>
      <c r="H15" s="32">
        <f>IF(OR(A15&gt;Parameter!$B$41,A15&lt;Parameter!$B$42),0,IF(A15=Parameter!$B$42,-I$7/(Parameter!$B$41-Parameter!$B$42)*(13-Parameter!B$27)/12,IF(A15=Parameter!$B$41,-I$7/(Parameter!$B$41-Parameter!$B$42)*(Parameter!$B$27-1)/12,-I$7/(Parameter!$B$41-Parameter!$B$42))))</f>
        <v>-1250</v>
      </c>
      <c r="I15" s="81">
        <f t="shared" si="0"/>
        <v>2916.666666666666</v>
      </c>
      <c r="J15" s="32">
        <f>IF(A15&lt;=Parameter!$B$46,K15,IF(A15&gt;Parameter!B$45,0,PMT(Parameter!$B$44,Parameter!$B$45-Parameter!$B$46,Parameter!$B$43)))</f>
        <v>0</v>
      </c>
      <c r="K15" s="32">
        <f>-M14*Parameter!$B$44</f>
        <v>0</v>
      </c>
      <c r="L15" s="32">
        <f>IF(A15&lt;=Parameter!$B$46,0,J15-K15)</f>
        <v>0</v>
      </c>
      <c r="M15" s="81">
        <f t="shared" si="1"/>
        <v>0</v>
      </c>
      <c r="N15" s="32">
        <f t="shared" si="3"/>
        <v>-666.4677141662357</v>
      </c>
      <c r="O15" s="32"/>
      <c r="P15" s="31">
        <f>IF(Parameter!$B$60="nein",IF(Parameter!$B$59="ja",-Q$13/15,-Q$7*0.05),IF(Q14*0.125&gt;Q14/(21-A15),-Q14*0.125,-Q14/(21-A15)))</f>
        <v>-500</v>
      </c>
      <c r="Q15" s="80">
        <f t="shared" si="4"/>
        <v>6166.666666666666</v>
      </c>
      <c r="R15" s="32">
        <f t="shared" si="5"/>
        <v>-170.82349043661122</v>
      </c>
      <c r="S15" s="32">
        <f>-R15*Parameter!$B$56</f>
        <v>51.24704713098337</v>
      </c>
      <c r="T15" s="32">
        <f t="shared" si="2"/>
        <v>-615.2206670352524</v>
      </c>
      <c r="U15" s="32">
        <f>T15/(1+Parameter!$B$50)^A15</f>
        <v>-467.5171439301437</v>
      </c>
      <c r="V15" s="32">
        <f t="shared" si="6"/>
        <v>-3677.514906447097</v>
      </c>
    </row>
    <row r="16" spans="1:22" s="34" customFormat="1" ht="12.75">
      <c r="A16" s="32">
        <v>8</v>
      </c>
      <c r="B16" s="32">
        <f>Parameter!$B$23*Parameter!$B$17*(1-Parameter!$B$24)^A16</f>
        <v>4323.1186960894665</v>
      </c>
      <c r="C16" s="32">
        <f>IF(Parameter!B$25&lt;1-Parameter!B$29,B16*(Parameter!B$29*Parameter!B$31+(1-Parameter!B$29-Parameter!B$25)*Parameter!B$53),(1-Parameter!B$25)*B16*Parameter!B$31)</f>
        <v>667.6624514240573</v>
      </c>
      <c r="D16" s="32">
        <f>IF(AND(Parameter!$B$26=2012,Parameter!$B$27&gt;3),Parameter!$B$25*B16*Parameter!B$52*(1+Parameter!B$54)^A16*(1+Parameter!B$55),Parameter!B$25*B16*(Parameter!B$52*(1+Parameter!B$54)^A16+Parameter!B$32)*(1+Parameter!B$55))</f>
        <v>260.6765173106943</v>
      </c>
      <c r="E16" s="32">
        <f>E15*(1+Parameter!$B$49)</f>
        <v>-172.30285014739206</v>
      </c>
      <c r="F16" s="32">
        <f>-Parameter!$B$22*C16</f>
        <v>0</v>
      </c>
      <c r="G16" s="32">
        <f>IF(A16=Parameter!B$41,IF(A16&gt;Parameter!B$39,-I15*Parameter!B$40*(13-Parameter!B$27)/12,-I15*Parameter!B$38*(13-Parameter!B$27)/12),IF(A16&lt;Parameter!B$39,-I15*Parameter!B$38,-I15*Parameter!B$40))</f>
        <v>-121.04166666666664</v>
      </c>
      <c r="H16" s="32">
        <f>IF(OR(A16&gt;Parameter!$B$41,A16&lt;Parameter!$B$42),0,IF(A16=Parameter!$B$42,-I$7/(Parameter!$B$41-Parameter!$B$42)*(13-Parameter!B$27)/12,IF(A16=Parameter!$B$41,-I$7/(Parameter!$B$41-Parameter!$B$42)*(Parameter!$B$27-1)/12,-I$7/(Parameter!$B$41-Parameter!$B$42))))</f>
        <v>-1250</v>
      </c>
      <c r="I16" s="81">
        <f t="shared" si="0"/>
        <v>1666.666666666666</v>
      </c>
      <c r="J16" s="32">
        <f>IF(A16&lt;=Parameter!$B$46,K16,IF(A16&gt;Parameter!B$45,0,PMT(Parameter!$B$44,Parameter!$B$45-Parameter!$B$46,Parameter!$B$43)))</f>
        <v>0</v>
      </c>
      <c r="K16" s="32">
        <f>-M15*Parameter!$B$44</f>
        <v>0</v>
      </c>
      <c r="L16" s="32">
        <f>IF(A16&lt;=Parameter!$B$46,0,J16-K16)</f>
        <v>0</v>
      </c>
      <c r="M16" s="81">
        <f t="shared" si="1"/>
        <v>0</v>
      </c>
      <c r="N16" s="32">
        <f t="shared" si="3"/>
        <v>-615.0055480793071</v>
      </c>
      <c r="O16" s="32"/>
      <c r="P16" s="31">
        <f>IF(Parameter!$B$60="nein",IF(Parameter!$B$59="ja",-Q$13/15,-Q$7*0.05),IF(Q15*0.125&gt;Q15/(21-A16),-Q15*0.125,-Q15/(21-A16)))</f>
        <v>-500</v>
      </c>
      <c r="Q16" s="80">
        <f t="shared" si="4"/>
        <v>5666.666666666666</v>
      </c>
      <c r="R16" s="32">
        <f t="shared" si="5"/>
        <v>-125.68206539000141</v>
      </c>
      <c r="S16" s="32">
        <f>-R16*Parameter!$B$56</f>
        <v>37.704619617000425</v>
      </c>
      <c r="T16" s="32">
        <f t="shared" si="2"/>
        <v>-577.3009284623067</v>
      </c>
      <c r="U16" s="32">
        <f>T16/(1+Parameter!$B$50)^A16</f>
        <v>-421.82813376595846</v>
      </c>
      <c r="V16" s="32">
        <f t="shared" si="6"/>
        <v>-4099.343040213055</v>
      </c>
    </row>
    <row r="17" spans="1:22" s="34" customFormat="1" ht="12.75">
      <c r="A17" s="32">
        <v>9</v>
      </c>
      <c r="B17" s="32">
        <f>Parameter!$B$23*Parameter!$B$17*(1-Parameter!$B$24)^A17</f>
        <v>4301.503102609019</v>
      </c>
      <c r="C17" s="32">
        <f>IF(Parameter!B$25&lt;1-Parameter!B$29,B17*(Parameter!B$29*Parameter!B$31+(1-Parameter!B$29-Parameter!B$25)*Parameter!B$53),(1-Parameter!B$25)*B17*Parameter!B$31)</f>
        <v>664.324139166937</v>
      </c>
      <c r="D17" s="32">
        <f>IF(AND(Parameter!$B$26=2012,Parameter!$B$27&gt;3),Parameter!$B$25*B17*Parameter!B$52*(1+Parameter!B$54)^A17*(1+Parameter!B$55),Parameter!B$25*B17*(Parameter!B$52*(1+Parameter!B$54)^A17+Parameter!B$32)*(1+Parameter!B$55))</f>
        <v>267.1543287658651</v>
      </c>
      <c r="E17" s="32">
        <f>E16*(1+Parameter!$B$49)</f>
        <v>-175.7489071503399</v>
      </c>
      <c r="F17" s="32">
        <f>-Parameter!$B$22*C17</f>
        <v>0</v>
      </c>
      <c r="G17" s="32">
        <f>IF(A17=Parameter!B$41,IF(A17&gt;Parameter!B$39,-I16*Parameter!B$40*(13-Parameter!B$27)/12,-I16*Parameter!B$38*(13-Parameter!B$27)/12),IF(A17&lt;Parameter!B$39,-I16*Parameter!B$38,-I16*Parameter!B$40))</f>
        <v>-69.16666666666664</v>
      </c>
      <c r="H17" s="32">
        <f>IF(OR(A17&gt;Parameter!$B$41,A17&lt;Parameter!$B$42),0,IF(A17=Parameter!$B$42,-I$7/(Parameter!$B$41-Parameter!$B$42)*(13-Parameter!B$27)/12,IF(A17=Parameter!$B$41,-I$7/(Parameter!$B$41-Parameter!$B$42)*(Parameter!$B$27-1)/12,-I$7/(Parameter!$B$41-Parameter!$B$42))))</f>
        <v>-1250</v>
      </c>
      <c r="I17" s="81">
        <f t="shared" si="0"/>
        <v>416.66666666666606</v>
      </c>
      <c r="J17" s="32">
        <f>IF(A17&lt;=Parameter!$B$46,K17,IF(A17&gt;Parameter!B$45,0,PMT(Parameter!$B$44,Parameter!$B$45-Parameter!$B$46,Parameter!$B$43)))</f>
        <v>0</v>
      </c>
      <c r="K17" s="32">
        <f>-M16*Parameter!$B$44</f>
        <v>0</v>
      </c>
      <c r="L17" s="32">
        <f>IF(A17&lt;=Parameter!$B$46,0,J17-K17)</f>
        <v>0</v>
      </c>
      <c r="M17" s="81">
        <f t="shared" si="1"/>
        <v>0</v>
      </c>
      <c r="N17" s="32">
        <f t="shared" si="3"/>
        <v>-563.4371058842045</v>
      </c>
      <c r="O17" s="32"/>
      <c r="P17" s="31">
        <f>IF(Parameter!$B$60="nein",IF(Parameter!$B$59="ja",-Q$13/15,-Q$7*0.05),IF(Q16*0.125&gt;Q16/(21-A17),-Q16*0.125,-Q16/(21-A17)))</f>
        <v>-500</v>
      </c>
      <c r="Q17" s="80">
        <f t="shared" si="4"/>
        <v>5166.666666666666</v>
      </c>
      <c r="R17" s="32">
        <f t="shared" si="5"/>
        <v>-80.59143465006952</v>
      </c>
      <c r="S17" s="32">
        <f>-R17*Parameter!$B$56</f>
        <v>24.177430395020853</v>
      </c>
      <c r="T17" s="32">
        <f t="shared" si="2"/>
        <v>-539.2596754891836</v>
      </c>
      <c r="U17" s="32">
        <f>T17/(1+Parameter!$B$50)^A17</f>
        <v>-378.87669503124494</v>
      </c>
      <c r="V17" s="32">
        <f t="shared" si="6"/>
        <v>-4478.2197352443</v>
      </c>
    </row>
    <row r="18" spans="1:22" s="34" customFormat="1" ht="12.75">
      <c r="A18" s="32">
        <v>10</v>
      </c>
      <c r="B18" s="32">
        <f>Parameter!$B$23*Parameter!$B$17*(1-Parameter!$B$24)^A18</f>
        <v>4279.995587095974</v>
      </c>
      <c r="C18" s="32">
        <f>IF(Parameter!B$25&lt;1-Parameter!B$29,B18*(Parameter!B$29*Parameter!B$31+(1-Parameter!B$29-Parameter!B$25)*Parameter!B$53),(1-Parameter!B$25)*B18*Parameter!B$31)</f>
        <v>661.0025184711022</v>
      </c>
      <c r="D18" s="32">
        <f>IF(AND(Parameter!$B$26=2012,Parameter!$B$27&gt;3),Parameter!$B$25*B18*Parameter!B$52*(1+Parameter!B$54)^A18*(1+Parameter!B$55),Parameter!B$25*B18*(Parameter!B$52*(1+Parameter!B$54)^A18+Parameter!B$32)*(1+Parameter!B$55))</f>
        <v>273.79311383569683</v>
      </c>
      <c r="E18" s="32">
        <f>E17*(1+Parameter!$B$49)</f>
        <v>-179.2638852933467</v>
      </c>
      <c r="F18" s="32">
        <f>-Parameter!$B$22*C18</f>
        <v>0</v>
      </c>
      <c r="G18" s="32">
        <f>IF(A18=Parameter!B$41,IF(A18&gt;Parameter!B$39,-I17*Parameter!B$40*(13-Parameter!B$27)/12,-I17*Parameter!B$38*(13-Parameter!B$27)/12),IF(A18&lt;Parameter!B$39,-I17*Parameter!B$38,-I17*Parameter!B$40))</f>
        <v>-11.527777777777763</v>
      </c>
      <c r="H18" s="32">
        <f>IF(OR(A18&gt;Parameter!$B$41,A18&lt;Parameter!$B$42),0,IF(A18=Parameter!$B$42,-I$7/(Parameter!$B$41-Parameter!$B$42)*(13-Parameter!B$27)/12,IF(A18=Parameter!$B$41,-I$7/(Parameter!$B$41-Parameter!$B$42)*(Parameter!$B$27-1)/12,-I$7/(Parameter!$B$41-Parameter!$B$42))))</f>
        <v>-416.6666666666667</v>
      </c>
      <c r="I18" s="81">
        <f t="shared" si="0"/>
        <v>-6.252776074688882E-13</v>
      </c>
      <c r="J18" s="32">
        <f>IF(A18&lt;=Parameter!$B$46,K18,IF(A18&gt;Parameter!B$45,0,PMT(Parameter!$B$44,Parameter!$B$45-Parameter!$B$46,Parameter!$B$43)))</f>
        <v>0</v>
      </c>
      <c r="K18" s="32">
        <f>-M17*Parameter!$B$44</f>
        <v>0</v>
      </c>
      <c r="L18" s="32">
        <f>IF(A18&lt;=Parameter!$B$46,0,J18-K18)</f>
        <v>0</v>
      </c>
      <c r="M18" s="81">
        <f t="shared" si="1"/>
        <v>0</v>
      </c>
      <c r="N18" s="32">
        <f t="shared" si="3"/>
        <v>327.33730256900793</v>
      </c>
      <c r="O18" s="32"/>
      <c r="P18" s="31">
        <f>IF(Parameter!$B$60="nein",IF(Parameter!$B$59="ja",-Q$13/15,-Q$7*0.05),IF(Q17*0.125&gt;Q17/(21-A18),-Q17*0.125,-Q17/(21-A18)))</f>
        <v>-500</v>
      </c>
      <c r="Q18" s="80">
        <f t="shared" si="4"/>
        <v>4666.666666666666</v>
      </c>
      <c r="R18" s="32">
        <f t="shared" si="5"/>
        <v>-29.78914460002221</v>
      </c>
      <c r="S18" s="32">
        <f>-R18*Parameter!$B$56</f>
        <v>8.936743380006662</v>
      </c>
      <c r="T18" s="32">
        <f t="shared" si="2"/>
        <v>336.2740459490146</v>
      </c>
      <c r="U18" s="32">
        <f>T18/(1+Parameter!$B$50)^A18</f>
        <v>227.17469634923444</v>
      </c>
      <c r="V18" s="32">
        <f t="shared" si="6"/>
        <v>-4251.045038895066</v>
      </c>
    </row>
    <row r="19" spans="1:22" s="34" customFormat="1" ht="12.75">
      <c r="A19" s="32">
        <v>11</v>
      </c>
      <c r="B19" s="32">
        <f>Parameter!$B$23*Parameter!$B$17*(1-Parameter!$B$24)^A19</f>
        <v>4258.595609160494</v>
      </c>
      <c r="C19" s="32">
        <f>IF(Parameter!B$25&lt;1-Parameter!B$29,B19*(Parameter!B$29*Parameter!B$31+(1-Parameter!B$29-Parameter!B$25)*Parameter!B$53),(1-Parameter!B$25)*B19*Parameter!B$31)</f>
        <v>657.6975058787467</v>
      </c>
      <c r="D19" s="32">
        <f>IF(AND(Parameter!$B$26=2012,Parameter!$B$27&gt;3),Parameter!$B$25*B19*Parameter!B$52*(1+Parameter!B$54)^A19*(1+Parameter!B$55),Parameter!B$25*B19*(Parameter!B$52*(1+Parameter!B$54)^A19+Parameter!B$32)*(1+Parameter!B$55))</f>
        <v>280.5968727145139</v>
      </c>
      <c r="E19" s="32">
        <f>E18*(1+Parameter!$B$49)</f>
        <v>-182.84916299921363</v>
      </c>
      <c r="F19" s="32">
        <f>-Parameter!$B$22*C19</f>
        <v>0</v>
      </c>
      <c r="G19" s="32">
        <f>IF(A19=Parameter!B$41,IF(A19&gt;Parameter!B$39,-I18*Parameter!B$40*(13-Parameter!B$27)/12,-I18*Parameter!B$38*(13-Parameter!B$27)/12),IF(A19&lt;Parameter!B$39,-I18*Parameter!B$38,-I18*Parameter!B$40))</f>
        <v>3.7516656448133285E-14</v>
      </c>
      <c r="H19" s="32">
        <f>IF(OR(A19&gt;Parameter!$B$41,A19&lt;Parameter!$B$42),0,IF(A19=Parameter!$B$42,-I$7/(Parameter!$B$41-Parameter!$B$42)*(13-Parameter!B$27)/12,IF(A19=Parameter!$B$41,-I$7/(Parameter!$B$41-Parameter!$B$42)*(Parameter!$B$27-1)/12,-I$7/(Parameter!$B$41-Parameter!$B$42))))</f>
        <v>0</v>
      </c>
      <c r="I19" s="81">
        <f aca="true" t="shared" si="7" ref="I19:I27">I18+H19</f>
        <v>-6.252776074688882E-13</v>
      </c>
      <c r="J19" s="32">
        <f>IF(A19&lt;=Parameter!$B$46,K19,IF(A19&gt;Parameter!B$45,0,PMT(Parameter!$B$44,Parameter!$B$45-Parameter!$B$46,Parameter!$B$43)))</f>
        <v>0</v>
      </c>
      <c r="K19" s="32">
        <f>-M18*Parameter!$B$44</f>
        <v>0</v>
      </c>
      <c r="L19" s="32">
        <f>IF(A19&lt;=Parameter!$B$46,0,J19-K19)</f>
        <v>0</v>
      </c>
      <c r="M19" s="81">
        <f t="shared" si="1"/>
        <v>0</v>
      </c>
      <c r="N19" s="32">
        <f t="shared" si="3"/>
        <v>755.445215594047</v>
      </c>
      <c r="O19" s="32"/>
      <c r="P19" s="31">
        <f>IF(Parameter!$B$60="nein",IF(Parameter!$B$59="ja",-Q$13/15,-Q$7*0.05),IF(Q18*0.125&gt;Q18/(21-A19),-Q18*0.125,-Q18/(21-A19)))</f>
        <v>-500</v>
      </c>
      <c r="Q19" s="80">
        <f t="shared" si="4"/>
        <v>4166.666666666666</v>
      </c>
      <c r="R19" s="32">
        <f t="shared" si="5"/>
        <v>-25.151657120466837</v>
      </c>
      <c r="S19" s="32">
        <f>-R19*Parameter!$B$57</f>
        <v>7.5454971361400505</v>
      </c>
      <c r="T19" s="32">
        <f t="shared" si="2"/>
        <v>762.990712730187</v>
      </c>
      <c r="U19" s="32">
        <f>T19/(1+Parameter!$B$50)^A19</f>
        <v>495.6242179493966</v>
      </c>
      <c r="V19" s="32">
        <f t="shared" si="6"/>
        <v>-3755.420820945669</v>
      </c>
    </row>
    <row r="20" spans="1:22" s="34" customFormat="1" ht="12.75">
      <c r="A20" s="32">
        <v>12</v>
      </c>
      <c r="B20" s="32">
        <f>Parameter!$B$23*Parameter!$B$17*(1-Parameter!$B$24)^A20</f>
        <v>4237.302631114691</v>
      </c>
      <c r="C20" s="32">
        <f>IF(Parameter!B$25&lt;1-Parameter!B$29,B20*(Parameter!B$29*Parameter!B$31+(1-Parameter!B$29-Parameter!B$25)*Parameter!B$53),(1-Parameter!B$25)*B20*Parameter!B$31)</f>
        <v>654.409018349353</v>
      </c>
      <c r="D20" s="32">
        <f>IF(AND(Parameter!$B$26=2012,Parameter!$B$27&gt;3),Parameter!$B$25*B20*Parameter!B$52*(1+Parameter!B$54)^A20*(1+Parameter!B$55),Parameter!B$25*B20*(Parameter!B$52*(1+Parameter!B$54)^A20+Parameter!B$32)*(1+Parameter!B$55))</f>
        <v>287.5697050014695</v>
      </c>
      <c r="E20" s="32">
        <f>E19*(1+Parameter!$B$49)</f>
        <v>-186.50614625919792</v>
      </c>
      <c r="F20" s="32">
        <f>-Parameter!$B$22*C20</f>
        <v>0</v>
      </c>
      <c r="G20" s="32">
        <f>IF(A20=Parameter!B$41,IF(A20&gt;Parameter!B$39,-I19*Parameter!B$40*(13-Parameter!B$27)/12,-I19*Parameter!B$38*(13-Parameter!B$27)/12),IF(A20&lt;Parameter!B$39,-I19*Parameter!B$38,-I19*Parameter!B$40))</f>
        <v>3.7516656448133285E-14</v>
      </c>
      <c r="H20" s="32">
        <f>IF(OR(A20&gt;Parameter!$B$41,A20&lt;Parameter!$B$42),0,IF(A20=Parameter!$B$42,-I$7/(Parameter!$B$41-Parameter!$B$42)*(13-Parameter!B$27)/12,IF(A20=Parameter!$B$41,-I$7/(Parameter!$B$41-Parameter!$B$42)*(Parameter!$B$27-1)/12,-I$7/(Parameter!$B$41-Parameter!$B$42))))</f>
        <v>0</v>
      </c>
      <c r="I20" s="81">
        <f t="shared" si="7"/>
        <v>-6.252776074688882E-13</v>
      </c>
      <c r="J20" s="32">
        <f>IF(A20&lt;=Parameter!$B$46,K20,IF(A20&gt;Parameter!B$45,0,PMT(Parameter!$B$44,Parameter!$B$45-Parameter!$B$46,Parameter!$B$43)))</f>
        <v>0</v>
      </c>
      <c r="K20" s="32">
        <f>-M19*Parameter!$B$44</f>
        <v>0</v>
      </c>
      <c r="L20" s="32">
        <f>IF(A20&lt;=Parameter!$B$46,0,J20-K20)</f>
        <v>0</v>
      </c>
      <c r="M20" s="81">
        <f t="shared" si="1"/>
        <v>0</v>
      </c>
      <c r="N20" s="32">
        <f t="shared" si="3"/>
        <v>755.4725770916245</v>
      </c>
      <c r="O20" s="32"/>
      <c r="P20" s="31">
        <f>IF(Parameter!$B$60="nein",IF(Parameter!$B$59="ja",-Q$13/15,-Q$7*0.05),IF(Q19*0.125&gt;Q19/(21-A20),-Q19*0.125,-Q19/(21-A20)))</f>
        <v>-500</v>
      </c>
      <c r="Q20" s="80">
        <f t="shared" si="4"/>
        <v>3666.666666666666</v>
      </c>
      <c r="R20" s="32">
        <f t="shared" si="5"/>
        <v>-32.09712790984486</v>
      </c>
      <c r="S20" s="32">
        <f>-R20*Parameter!$B$57</f>
        <v>9.629138372953458</v>
      </c>
      <c r="T20" s="32">
        <f t="shared" si="2"/>
        <v>765.101715464578</v>
      </c>
      <c r="U20" s="32">
        <f>T20/(1+Parameter!$B$50)^A20</f>
        <v>477.8802741078219</v>
      </c>
      <c r="V20" s="32">
        <f t="shared" si="6"/>
        <v>-3277.540546837847</v>
      </c>
    </row>
    <row r="21" spans="1:22" s="34" customFormat="1" ht="12.75">
      <c r="A21" s="32">
        <v>13</v>
      </c>
      <c r="B21" s="32">
        <f>Parameter!$B$23*Parameter!$B$17*(1-Parameter!$B$24)^A21</f>
        <v>4216.116117959118</v>
      </c>
      <c r="C21" s="32">
        <f>IF(Parameter!B$25&lt;1-Parameter!B$29,B21*(Parameter!B$29*Parameter!B$31+(1-Parameter!B$29-Parameter!B$25)*Parameter!B$53),(1-Parameter!B$25)*B21*Parameter!B$31)</f>
        <v>651.1369732576062</v>
      </c>
      <c r="D21" s="32">
        <f>IF(AND(Parameter!$B$26=2012,Parameter!$B$27&gt;3),Parameter!$B$25*B21*Parameter!B$52*(1+Parameter!B$54)^A21*(1+Parameter!B$55),Parameter!B$25*B21*(Parameter!B$52*(1+Parameter!B$54)^A21+Parameter!B$32)*(1+Parameter!B$55))</f>
        <v>294.715812170756</v>
      </c>
      <c r="E21" s="32">
        <f>E20*(1+Parameter!$B$49)</f>
        <v>-190.23626918438188</v>
      </c>
      <c r="F21" s="32">
        <f>-Parameter!$B$22*C21</f>
        <v>0</v>
      </c>
      <c r="G21" s="32">
        <f>IF(A21=Parameter!B$41,IF(A21&gt;Parameter!B$39,-I20*Parameter!B$40*(13-Parameter!B$27)/12,-I20*Parameter!B$38*(13-Parameter!B$27)/12),IF(A21&lt;Parameter!B$39,-I20*Parameter!B$38,-I20*Parameter!B$40))</f>
        <v>3.7516656448133285E-14</v>
      </c>
      <c r="H21" s="32">
        <f>IF(OR(A21&gt;Parameter!$B$41,A21&lt;Parameter!$B$42),0,IF(A21=Parameter!$B$42,-I$7/(Parameter!$B$41-Parameter!$B$42)*(13-Parameter!B$27)/12,IF(A21=Parameter!$B$41,-I$7/(Parameter!$B$41-Parameter!$B$42)*(Parameter!$B$27-1)/12,-I$7/(Parameter!$B$41-Parameter!$B$42))))</f>
        <v>0</v>
      </c>
      <c r="I21" s="81">
        <f t="shared" si="7"/>
        <v>-6.252776074688882E-13</v>
      </c>
      <c r="J21" s="32">
        <f>IF(A21&lt;=Parameter!$B$46,K21,IF(A21&gt;Parameter!B$45,0,PMT(Parameter!$B$44,Parameter!$B$45-Parameter!$B$46,Parameter!$B$43)))</f>
        <v>0</v>
      </c>
      <c r="K21" s="32">
        <f>-M20*Parameter!$B$44</f>
        <v>0</v>
      </c>
      <c r="L21" s="32">
        <f>IF(A21&lt;=Parameter!$B$46,0,J21-K21)</f>
        <v>0</v>
      </c>
      <c r="M21" s="81">
        <f t="shared" si="1"/>
        <v>0</v>
      </c>
      <c r="N21" s="32">
        <f t="shared" si="3"/>
        <v>755.6165162439804</v>
      </c>
      <c r="O21" s="32"/>
      <c r="P21" s="31">
        <f>IF(Parameter!$B$60="nein",IF(Parameter!$B$59="ja",-Q$13/15,-Q$7*0.05),IF(Q20*0.125&gt;Q20/(21-A21),-Q20*0.125,-Q20/(21-A21)))</f>
        <v>-500</v>
      </c>
      <c r="Q21" s="80">
        <f t="shared" si="4"/>
        <v>3166.666666666666</v>
      </c>
      <c r="R21" s="32">
        <f t="shared" si="5"/>
        <v>-39.099295926775596</v>
      </c>
      <c r="S21" s="32">
        <f>-R21*Parameter!$B$57</f>
        <v>11.72978877803268</v>
      </c>
      <c r="T21" s="32">
        <f t="shared" si="2"/>
        <v>767.3463050220131</v>
      </c>
      <c r="U21" s="32">
        <f>T21/(1+Parameter!$B$50)^A21</f>
        <v>460.8483058874174</v>
      </c>
      <c r="V21" s="32">
        <f t="shared" si="6"/>
        <v>-2816.6922409504296</v>
      </c>
    </row>
    <row r="22" spans="1:22" s="34" customFormat="1" ht="12.75">
      <c r="A22" s="32">
        <v>14</v>
      </c>
      <c r="B22" s="32">
        <f>Parameter!$B$23*Parameter!$B$17*(1-Parameter!$B$24)^A22</f>
        <v>4195.035537369323</v>
      </c>
      <c r="C22" s="32">
        <f>IF(Parameter!B$25&lt;1-Parameter!B$29,B22*(Parameter!B$29*Parameter!B$31+(1-Parameter!B$29-Parameter!B$25)*Parameter!B$53),(1-Parameter!B$25)*B22*Parameter!B$31)</f>
        <v>647.8812883913182</v>
      </c>
      <c r="D22" s="32">
        <f>IF(AND(Parameter!$B$26=2012,Parameter!$B$27&gt;3),Parameter!$B$25*B22*Parameter!B$52*(1+Parameter!B$54)^A22*(1+Parameter!B$55),Parameter!B$25*B22*(Parameter!B$52*(1+Parameter!B$54)^A22+Parameter!B$32)*(1+Parameter!B$55))</f>
        <v>302.0395001031994</v>
      </c>
      <c r="E22" s="32">
        <f>E21*(1+Parameter!$B$49)</f>
        <v>-194.04099456806952</v>
      </c>
      <c r="F22" s="32">
        <f>-Parameter!$B$22*C22</f>
        <v>0</v>
      </c>
      <c r="G22" s="32">
        <f>IF(A22=Parameter!B$41,IF(A22&gt;Parameter!B$39,-I21*Parameter!B$40*(13-Parameter!B$27)/12,-I21*Parameter!B$38*(13-Parameter!B$27)/12),IF(A22&lt;Parameter!B$39,-I21*Parameter!B$38,-I21*Parameter!B$40))</f>
        <v>3.7516656448133285E-14</v>
      </c>
      <c r="H22" s="32">
        <f>IF(OR(A22&gt;Parameter!$B$41,A22&lt;Parameter!$B$42),0,IF(A22=Parameter!$B$42,-I$7/(Parameter!$B$41-Parameter!$B$42)*(13-Parameter!B$27)/12,IF(A22=Parameter!$B$41,-I$7/(Parameter!$B$41-Parameter!$B$42)*(Parameter!$B$27-1)/12,-I$7/(Parameter!$B$41-Parameter!$B$42))))</f>
        <v>0</v>
      </c>
      <c r="I22" s="81">
        <f t="shared" si="7"/>
        <v>-6.252776074688882E-13</v>
      </c>
      <c r="J22" s="32">
        <f>IF(A22&lt;=Parameter!$B$46,K22,IF(A22&gt;Parameter!B$45,0,PMT(Parameter!$B$44,Parameter!$B$45-Parameter!$B$46,Parameter!$B$43)))</f>
        <v>0</v>
      </c>
      <c r="K22" s="32">
        <f>-M21*Parameter!$B$44</f>
        <v>0</v>
      </c>
      <c r="L22" s="32">
        <f>IF(A22&lt;=Parameter!$B$46,0,J22-K22)</f>
        <v>0</v>
      </c>
      <c r="M22" s="81">
        <f t="shared" si="1"/>
        <v>0</v>
      </c>
      <c r="N22" s="32">
        <f t="shared" si="3"/>
        <v>755.8797939264481</v>
      </c>
      <c r="O22" s="32"/>
      <c r="P22" s="31">
        <f>IF(Parameter!$B$60="nein",IF(Parameter!$B$59="ja",-Q$13/15,-Q$7*0.05),IF(Q21*0.125&gt;Q21/(21-A22),-Q21*0.125,-Q21/(21-A22)))</f>
        <v>-500</v>
      </c>
      <c r="Q22" s="80">
        <f t="shared" si="4"/>
        <v>2666.666666666666</v>
      </c>
      <c r="R22" s="32">
        <f t="shared" si="5"/>
        <v>-46.159706176751286</v>
      </c>
      <c r="S22" s="32">
        <f>-R22*Parameter!$B$57</f>
        <v>13.847911853025385</v>
      </c>
      <c r="T22" s="32">
        <f t="shared" si="2"/>
        <v>769.7277057794735</v>
      </c>
      <c r="U22" s="32">
        <f>T22/(1+Parameter!$B$50)^A22</f>
        <v>444.49857064523997</v>
      </c>
      <c r="V22" s="32">
        <f t="shared" si="6"/>
        <v>-2372.1936703051897</v>
      </c>
    </row>
    <row r="23" spans="1:22" s="34" customFormat="1" ht="12.75">
      <c r="A23" s="32">
        <v>15</v>
      </c>
      <c r="B23" s="32">
        <f>Parameter!$B$23*Parameter!$B$17*(1-Parameter!$B$24)^A23</f>
        <v>4174.060359682477</v>
      </c>
      <c r="C23" s="32">
        <f>IF(Parameter!B$25&lt;1-Parameter!B$29,B23*(Parameter!B$29*Parameter!B$31+(1-Parameter!B$29-Parameter!B$25)*Parameter!B$53),(1-Parameter!B$25)*B23*Parameter!B$31)</f>
        <v>644.6418819493617</v>
      </c>
      <c r="D23" s="32">
        <f>IF(AND(Parameter!$B$26=2012,Parameter!$B$27&gt;3),Parameter!$B$25*B23*Parameter!B$52*(1+Parameter!B$54)^A23*(1+Parameter!B$55),Parameter!B$25*B23*(Parameter!B$52*(1+Parameter!B$54)^A23+Parameter!B$32)*(1+Parameter!B$55))</f>
        <v>309.5451816807639</v>
      </c>
      <c r="E23" s="32">
        <f>E22*(1+Parameter!$B$49)</f>
        <v>-197.92181445943092</v>
      </c>
      <c r="F23" s="32">
        <f>-Parameter!$B$22*C23</f>
        <v>0</v>
      </c>
      <c r="G23" s="32">
        <f>IF(A23=Parameter!B$41,IF(A23&gt;Parameter!B$39,-I22*Parameter!B$40*(13-Parameter!B$27)/12,-I22*Parameter!B$38*(13-Parameter!B$27)/12),IF(A23&lt;Parameter!B$39,-I22*Parameter!B$38,-I22*Parameter!B$40))</f>
        <v>3.7516656448133285E-14</v>
      </c>
      <c r="H23" s="32">
        <f>IF(OR(A23&gt;Parameter!$B$41,A23&lt;Parameter!$B$42),0,IF(A23=Parameter!$B$42,-I$7/(Parameter!$B$41-Parameter!$B$42)*(13-Parameter!B$27)/12,IF(A23=Parameter!$B$41,-I$7/(Parameter!$B$41-Parameter!$B$42)*(Parameter!$B$27-1)/12,-I$7/(Parameter!$B$41-Parameter!$B$42))))</f>
        <v>0</v>
      </c>
      <c r="I23" s="81">
        <f t="shared" si="7"/>
        <v>-6.252776074688882E-13</v>
      </c>
      <c r="J23" s="32">
        <f>IF(A23&lt;=Parameter!$B$46,K23,IF(A23&gt;Parameter!B$45,0,PMT(Parameter!$B$44,Parameter!$B$45-Parameter!$B$46,Parameter!$B$43)))</f>
        <v>0</v>
      </c>
      <c r="K23" s="32">
        <f>-M22*Parameter!$B$44</f>
        <v>0</v>
      </c>
      <c r="L23" s="32">
        <f>IF(A23&lt;=Parameter!$B$46,0,J23-K23)</f>
        <v>0</v>
      </c>
      <c r="M23" s="81">
        <f t="shared" si="1"/>
        <v>0</v>
      </c>
      <c r="N23" s="32">
        <f t="shared" si="3"/>
        <v>756.2652491706947</v>
      </c>
      <c r="O23" s="32"/>
      <c r="P23" s="31">
        <f>IF(Parameter!$B$60="nein",IF(Parameter!$B$59="ja",-Q$13/15,-Q$7*0.05),IF(Q22*0.125&gt;Q22/(21-A23),-Q22*0.125,-Q22/(21-A23)))</f>
        <v>-500</v>
      </c>
      <c r="Q23" s="80">
        <f t="shared" si="4"/>
        <v>2166.666666666666</v>
      </c>
      <c r="R23" s="32">
        <f t="shared" si="5"/>
        <v>-53.27993251006916</v>
      </c>
      <c r="S23" s="32">
        <f>-R23*Parameter!$B$57</f>
        <v>15.983979753020748</v>
      </c>
      <c r="T23" s="32">
        <f t="shared" si="2"/>
        <v>772.2492289237155</v>
      </c>
      <c r="U23" s="32">
        <f>T23/(1+Parameter!$B$50)^A23</f>
        <v>428.80258406903675</v>
      </c>
      <c r="V23" s="32">
        <f t="shared" si="6"/>
        <v>-1943.391086236153</v>
      </c>
    </row>
    <row r="24" spans="1:22" s="34" customFormat="1" ht="12.75">
      <c r="A24" s="32">
        <v>16</v>
      </c>
      <c r="B24" s="32">
        <f>Parameter!$B$23*Parameter!$B$17*(1-Parameter!$B$24)^A24</f>
        <v>4153.190057884064</v>
      </c>
      <c r="C24" s="32">
        <f>IF(Parameter!B$25&lt;1-Parameter!B$29,B24*(Parameter!B$29*Parameter!B$31+(1-Parameter!B$29-Parameter!B$25)*Parameter!B$53),(1-Parameter!B$25)*B24*Parameter!B$31)</f>
        <v>641.4186725396149</v>
      </c>
      <c r="D24" s="32">
        <f>IF(AND(Parameter!$B$26=2012,Parameter!$B$27&gt;3),Parameter!$B$25*B24*Parameter!B$52*(1+Parameter!B$54)^A24*(1+Parameter!B$55),Parameter!B$25*B24*(Parameter!B$52*(1+Parameter!B$54)^A24+Parameter!B$32)*(1+Parameter!B$55))</f>
        <v>317.23737944553085</v>
      </c>
      <c r="E24" s="32">
        <f>E23*(1+Parameter!$B$49)</f>
        <v>-201.88025074861955</v>
      </c>
      <c r="F24" s="32">
        <f>-Parameter!$B$22*C24</f>
        <v>0</v>
      </c>
      <c r="G24" s="32">
        <f>IF(A24=Parameter!B$41,IF(A24&gt;Parameter!B$39,-I23*Parameter!B$40*(13-Parameter!B$27)/12,-I23*Parameter!B$38*(13-Parameter!B$27)/12),IF(A24&lt;Parameter!B$39,-I23*Parameter!B$38,-I23*Parameter!B$40))</f>
        <v>3.7516656448133285E-14</v>
      </c>
      <c r="H24" s="32">
        <f>IF(OR(A24&gt;Parameter!$B$41,A24&lt;Parameter!$B$42),0,IF(A24=Parameter!$B$42,-I$7/(Parameter!$B$41-Parameter!$B$42)*(13-Parameter!B$27)/12,IF(A24=Parameter!$B$41,-I$7/(Parameter!$B$41-Parameter!$B$42)*(Parameter!$B$27-1)/12,-I$7/(Parameter!$B$41-Parameter!$B$42))))</f>
        <v>0</v>
      </c>
      <c r="I24" s="81">
        <f t="shared" si="7"/>
        <v>-6.252776074688882E-13</v>
      </c>
      <c r="J24" s="32">
        <f>IF(A24&lt;=Parameter!$B$46,K24,IF(A24&gt;Parameter!B$45,0,PMT(Parameter!$B$44,Parameter!$B$45-Parameter!$B$46,Parameter!$B$43)))</f>
        <v>0</v>
      </c>
      <c r="K24" s="32">
        <f>-M23*Parameter!$B$44</f>
        <v>0</v>
      </c>
      <c r="L24" s="32">
        <f>IF(A24&lt;=Parameter!$B$46,0,J24-K24)</f>
        <v>0</v>
      </c>
      <c r="M24" s="81">
        <f t="shared" si="1"/>
        <v>0</v>
      </c>
      <c r="N24" s="32">
        <f t="shared" si="3"/>
        <v>756.7758012365261</v>
      </c>
      <c r="O24" s="32"/>
      <c r="P24" s="31">
        <f>IF(Parameter!$B$60="nein",IF(Parameter!$B$59="ja",-Q$13/15,-Q$7*0.05),IF(Q23*0.125&gt;Q23/(21-A24),-Q23*0.125,-Q23/(21-A24)))</f>
        <v>-500</v>
      </c>
      <c r="Q24" s="80">
        <f t="shared" si="4"/>
        <v>1666.666666666666</v>
      </c>
      <c r="R24" s="32">
        <f t="shared" si="5"/>
        <v>-60.461578209004585</v>
      </c>
      <c r="S24" s="32">
        <f>-R24*Parameter!$B$57</f>
        <v>18.138473462701374</v>
      </c>
      <c r="T24" s="32">
        <f t="shared" si="2"/>
        <v>774.9142746992276</v>
      </c>
      <c r="U24" s="32">
        <f>T24/(1+Parameter!$B$50)^A24</f>
        <v>413.7330667175813</v>
      </c>
      <c r="V24" s="32">
        <f t="shared" si="6"/>
        <v>-1529.6580195185716</v>
      </c>
    </row>
    <row r="25" spans="1:22" s="34" customFormat="1" ht="12.75">
      <c r="A25" s="32">
        <v>17</v>
      </c>
      <c r="B25" s="32">
        <f>Parameter!$B$23*Parameter!$B$17*(1-Parameter!$B$24)^A25</f>
        <v>4132.424107594644</v>
      </c>
      <c r="C25" s="32">
        <f>IF(Parameter!B$25&lt;1-Parameter!B$29,B25*(Parameter!B$29*Parameter!B$31+(1-Parameter!B$29-Parameter!B$25)*Parameter!B$53),(1-Parameter!B$25)*B25*Parameter!B$31)</f>
        <v>638.2115791769169</v>
      </c>
      <c r="D25" s="32">
        <f>IF(AND(Parameter!$B$26=2012,Parameter!$B$27&gt;3),Parameter!$B$25*B25*Parameter!B$52*(1+Parameter!B$54)^A25*(1+Parameter!B$55),Parameter!B$25*B25*(Parameter!B$52*(1+Parameter!B$54)^A25+Parameter!B$32)*(1+Parameter!B$55))</f>
        <v>325.1207283247523</v>
      </c>
      <c r="E25" s="32">
        <f>E24*(1+Parameter!$B$49)</f>
        <v>-205.91785576359194</v>
      </c>
      <c r="F25" s="32">
        <f>-Parameter!$B$22*C25</f>
        <v>0</v>
      </c>
      <c r="G25" s="32">
        <f>IF(A25=Parameter!B$41,IF(A25&gt;Parameter!B$39,-I24*Parameter!B$40*(13-Parameter!B$27)/12,-I24*Parameter!B$38*(13-Parameter!B$27)/12),IF(A25&lt;Parameter!B$39,-I24*Parameter!B$38,-I24*Parameter!B$40))</f>
        <v>3.7516656448133285E-14</v>
      </c>
      <c r="H25" s="32">
        <f>IF(OR(A25&gt;Parameter!$B$41,A25&lt;Parameter!$B$42),0,IF(A25=Parameter!$B$42,-I$7/(Parameter!$B$41-Parameter!$B$42)*(13-Parameter!B$27)/12,IF(A25=Parameter!$B$41,-I$7/(Parameter!$B$41-Parameter!$B$42)*(Parameter!$B$27-1)/12,-I$7/(Parameter!$B$41-Parameter!$B$42))))</f>
        <v>0</v>
      </c>
      <c r="I25" s="81">
        <f t="shared" si="7"/>
        <v>-6.252776074688882E-13</v>
      </c>
      <c r="J25" s="32">
        <f>IF(A25&lt;=Parameter!$B$46,K25,IF(A25&gt;Parameter!B$45,0,PMT(Parameter!$B$44,Parameter!$B$45-Parameter!$B$46,Parameter!$B$43)))</f>
        <v>0</v>
      </c>
      <c r="K25" s="32">
        <f>-M24*Parameter!$B$44</f>
        <v>0</v>
      </c>
      <c r="L25" s="32">
        <f>IF(A25&lt;=Parameter!$B$46,0,J25-K25)</f>
        <v>0</v>
      </c>
      <c r="M25" s="81">
        <f t="shared" si="1"/>
        <v>0</v>
      </c>
      <c r="N25" s="32">
        <f t="shared" si="3"/>
        <v>757.4144517380773</v>
      </c>
      <c r="O25" s="32"/>
      <c r="P25" s="31">
        <f>IF(Parameter!$B$60="nein",IF(Parameter!$B$59="ja",-Q$13/15,-Q$7*0.05),IF(Q24*0.125&gt;Q24/(21-A25),-Q24*0.125,-Q24/(21-A25)))</f>
        <v>-500</v>
      </c>
      <c r="Q25" s="80">
        <f t="shared" si="4"/>
        <v>1166.666666666666</v>
      </c>
      <c r="R25" s="32">
        <f t="shared" si="5"/>
        <v>-67.70627658667502</v>
      </c>
      <c r="S25" s="32">
        <f>-R25*Parameter!$B$57</f>
        <v>20.311882976002504</v>
      </c>
      <c r="T25" s="32">
        <f t="shared" si="2"/>
        <v>777.7263347140798</v>
      </c>
      <c r="U25" s="32">
        <f>T25/(1+Parameter!$B$50)^A25</f>
        <v>399.26389283656744</v>
      </c>
      <c r="V25" s="32">
        <f t="shared" si="6"/>
        <v>-1130.394126682004</v>
      </c>
    </row>
    <row r="26" spans="1:22" s="34" customFormat="1" ht="12.75">
      <c r="A26" s="32">
        <v>18</v>
      </c>
      <c r="B26" s="32">
        <f>Parameter!$B$23*Parameter!$B$17*(1-Parameter!$B$24)^A26</f>
        <v>4111.7619870566705</v>
      </c>
      <c r="C26" s="32">
        <f>IF(Parameter!B$25&lt;1-Parameter!B$29,B26*(Parameter!B$29*Parameter!B$31+(1-Parameter!B$29-Parameter!B$25)*Parameter!B$53),(1-Parameter!B$25)*B26*Parameter!B$31)</f>
        <v>635.0205212810322</v>
      </c>
      <c r="D26" s="32">
        <f>IF(AND(Parameter!$B$26=2012,Parameter!$B$27&gt;3),Parameter!$B$25*B26*Parameter!B$52*(1+Parameter!B$54)^A26*(1+Parameter!B$55),Parameter!B$25*B26*(Parameter!B$52*(1+Parameter!B$54)^A26+Parameter!B$32)*(1+Parameter!B$55))</f>
        <v>333.1999784236223</v>
      </c>
      <c r="E26" s="32">
        <f>E25*(1+Parameter!$B$49)</f>
        <v>-210.03621287886378</v>
      </c>
      <c r="F26" s="32">
        <f>-Parameter!$B$22*C26</f>
        <v>0</v>
      </c>
      <c r="G26" s="32">
        <f>IF(A26=Parameter!B$41,IF(A26&gt;Parameter!B$39,-I25*Parameter!B$40*(13-Parameter!B$27)/12,-I25*Parameter!B$38*(13-Parameter!B$27)/12),IF(A26&lt;Parameter!B$39,-I25*Parameter!B$38,-I25*Parameter!B$40))</f>
        <v>3.7516656448133285E-14</v>
      </c>
      <c r="H26" s="32">
        <f>IF(OR(A26&gt;Parameter!$B$41,A26&lt;Parameter!$B$42),0,IF(A26=Parameter!$B$42,-I$7/(Parameter!$B$41-Parameter!$B$42)*(13-Parameter!B$27)/12,IF(A26=Parameter!$B$41,-I$7/(Parameter!$B$41-Parameter!$B$42)*(Parameter!$B$27-1)/12,-I$7/(Parameter!$B$41-Parameter!$B$42))))</f>
        <v>0</v>
      </c>
      <c r="I26" s="81">
        <f t="shared" si="7"/>
        <v>-6.252776074688882E-13</v>
      </c>
      <c r="J26" s="32">
        <f>IF(A26&lt;=Parameter!$B$46,K26,IF(A26&gt;Parameter!B$45,0,PMT(Parameter!$B$44,Parameter!$B$45-Parameter!$B$46,Parameter!$B$43)))</f>
        <v>0</v>
      </c>
      <c r="K26" s="32">
        <f>-M25*Parameter!$B$44</f>
        <v>0</v>
      </c>
      <c r="L26" s="32">
        <f>IF(A26&lt;=Parameter!$B$46,0,J26-K26)</f>
        <v>0</v>
      </c>
      <c r="M26" s="81">
        <f t="shared" si="1"/>
        <v>0</v>
      </c>
      <c r="N26" s="32">
        <f t="shared" si="3"/>
        <v>758.1842868257907</v>
      </c>
      <c r="O26" s="32"/>
      <c r="P26" s="31">
        <f>IF(Parameter!$B$60="nein",IF(Parameter!$B$59="ja",-Q$13/15,-Q$7*0.05),IF(Q25*0.125&gt;Q25/(21-A26),-Q25*0.125,-Q25/(21-A26)))</f>
        <v>-500</v>
      </c>
      <c r="Q26" s="80">
        <f t="shared" si="4"/>
        <v>666.6666666666661</v>
      </c>
      <c r="R26" s="32">
        <f t="shared" si="5"/>
        <v>-75.01569159783156</v>
      </c>
      <c r="S26" s="32">
        <f>-R26*Parameter!$B$57</f>
        <v>22.504707479349467</v>
      </c>
      <c r="T26" s="32">
        <f t="shared" si="2"/>
        <v>780.6889943051401</v>
      </c>
      <c r="U26" s="32">
        <f>T26/(1+Parameter!$B$50)^A26</f>
        <v>385.3700413530614</v>
      </c>
      <c r="V26" s="32">
        <f t="shared" si="6"/>
        <v>-745.0240853289426</v>
      </c>
    </row>
    <row r="27" spans="1:22" s="34" customFormat="1" ht="12.75">
      <c r="A27" s="32">
        <v>19</v>
      </c>
      <c r="B27" s="32">
        <f>Parameter!$B$23*Parameter!$B$17*(1-Parameter!$B$24)^A27</f>
        <v>4091.2031771213865</v>
      </c>
      <c r="C27" s="32">
        <f>IF(Parameter!B$25&lt;1-Parameter!B$29,B27*(Parameter!B$29*Parameter!B$31+(1-Parameter!B$29-Parameter!B$25)*Parameter!B$53),(1-Parameter!B$25)*B27*Parameter!B$31)</f>
        <v>631.845418674627</v>
      </c>
      <c r="D27" s="32">
        <f>IF(AND(Parameter!$B$26=2012,Parameter!$B$27&gt;3),Parameter!$B$25*B27*Parameter!B$52*(1+Parameter!B$54)^A27*(1+Parameter!B$55),Parameter!B$25*B27*(Parameter!B$52*(1+Parameter!B$54)^A27+Parameter!B$32)*(1+Parameter!B$55))</f>
        <v>341.4799978874493</v>
      </c>
      <c r="E27" s="32">
        <f>E26*(1+Parameter!$B$49)</f>
        <v>-214.23693713644107</v>
      </c>
      <c r="F27" s="32">
        <f>-Parameter!$B$22*C27</f>
        <v>0</v>
      </c>
      <c r="G27" s="32">
        <f>IF(A27=Parameter!B$41,IF(A27&gt;Parameter!B$39,-I26*Parameter!B$40*(13-Parameter!B$27)/12,-I26*Parameter!B$38*(13-Parameter!B$27)/12),IF(A27&lt;Parameter!B$39,-I26*Parameter!B$38,-I26*Parameter!B$40))</f>
        <v>3.7516656448133285E-14</v>
      </c>
      <c r="H27" s="32">
        <f>IF(OR(A27&gt;Parameter!$B$41,A27&lt;Parameter!$B$42),0,IF(A27=Parameter!$B$42,-I$7/(Parameter!$B$41-Parameter!$B$42)*(13-Parameter!B$27)/12,IF(A27=Parameter!$B$41,-I$7/(Parameter!$B$41-Parameter!$B$42)*(Parameter!$B$27-1)/12,-I$7/(Parameter!$B$41-Parameter!$B$42))))</f>
        <v>0</v>
      </c>
      <c r="I27" s="81">
        <f t="shared" si="7"/>
        <v>-6.252776074688882E-13</v>
      </c>
      <c r="J27" s="32">
        <f>IF(A27&lt;=Parameter!$B$46,K27,IF(A27&gt;Parameter!B$45,0,PMT(Parameter!$B$44,Parameter!$B$45-Parameter!$B$46,Parameter!$B$43)))</f>
        <v>0</v>
      </c>
      <c r="K27" s="32">
        <f>-M26*Parameter!$B$44</f>
        <v>0</v>
      </c>
      <c r="L27" s="32">
        <f>IF(A27&lt;=Parameter!$B$46,0,J27-K27)</f>
        <v>0</v>
      </c>
      <c r="M27" s="81">
        <f t="shared" si="1"/>
        <v>0</v>
      </c>
      <c r="N27" s="32">
        <f t="shared" si="3"/>
        <v>759.0884794256352</v>
      </c>
      <c r="O27" s="32"/>
      <c r="P27" s="31">
        <f>IF(Parameter!$B$60="nein",IF(Parameter!$B$59="ja",-Q$13/15,-Q$7*0.05),IF(Q26*0.125&gt;Q26/(21-A27),-Q26*0.125,-Q26/(21-A27)))</f>
        <v>-500</v>
      </c>
      <c r="Q27" s="80">
        <f t="shared" si="4"/>
        <v>166.66666666666606</v>
      </c>
      <c r="R27" s="32">
        <f t="shared" si="5"/>
        <v>-82.39151846181397</v>
      </c>
      <c r="S27" s="32">
        <f>-R27*Parameter!$B$57</f>
        <v>24.71745553854419</v>
      </c>
      <c r="T27" s="32">
        <f t="shared" si="2"/>
        <v>783.8059349641794</v>
      </c>
      <c r="U27" s="32">
        <f>T27/(1+Parameter!$B$50)^A27</f>
        <v>372.0275489556604</v>
      </c>
      <c r="V27" s="32">
        <f t="shared" si="6"/>
        <v>-372.99653637328225</v>
      </c>
    </row>
    <row r="28" spans="1:22" s="34" customFormat="1" ht="12.75">
      <c r="A28" s="32">
        <v>20</v>
      </c>
      <c r="B28" s="32">
        <f>Parameter!$B$23*Parameter!$B$17*(1-Parameter!$B$24)^A28</f>
        <v>4070.74716123578</v>
      </c>
      <c r="C28" s="32">
        <f>IF(Parameter!B$25&lt;1-Parameter!B$29,B28*(Parameter!B$29*Parameter!B$31+(1-Parameter!B$29-Parameter!B$25)*Parameter!B$53),(1-Parameter!B$25)*B28*Parameter!B$31)</f>
        <v>628.6861915812539</v>
      </c>
      <c r="D28" s="32">
        <f>IF(AND(Parameter!$B$26=2012,Parameter!$B$27&gt;3),Parameter!$B$25*B28*Parameter!B$52*(1+Parameter!B$54)^A28*(1+Parameter!B$55),Parameter!B$25*B28*(Parameter!B$52*(1+Parameter!B$54)^A28+Parameter!B$32)*(1+Parameter!B$55))</f>
        <v>349.96577583495247</v>
      </c>
      <c r="E28" s="32">
        <f>E27*(1+Parameter!$B$49)</f>
        <v>-218.5216758791699</v>
      </c>
      <c r="F28" s="32">
        <f>-Parameter!$B$22*C28</f>
        <v>0</v>
      </c>
      <c r="G28" s="32">
        <f>IF(A28=Parameter!B$41,IF(A28&gt;Parameter!B$39,-I27*Parameter!B$40*(13-Parameter!B$27)/12,-I27*Parameter!B$38*(13-Parameter!B$27)/12),IF(A28&lt;Parameter!B$39,-I27*Parameter!B$38,-I27*Parameter!B$40))</f>
        <v>3.7516656448133285E-14</v>
      </c>
      <c r="H28" s="32">
        <f>IF(OR(A28&gt;Parameter!$B$41,A28&lt;Parameter!$B$42),0,IF(A28=Parameter!$B$42,-I$7/(Parameter!$B$41-Parameter!$B$42)*(13-Parameter!B$27)/12,IF(A28=Parameter!$B$41,-I$7/(Parameter!$B$41-Parameter!$B$42)*(Parameter!$B$27-1)/12,-I$7/(Parameter!$B$41-Parameter!$B$42))))</f>
        <v>0</v>
      </c>
      <c r="I28" s="81">
        <f>I27+H28</f>
        <v>-6.252776074688882E-13</v>
      </c>
      <c r="J28" s="32">
        <f>IF(A28&lt;=Parameter!$B$46,K28,IF(A28&gt;Parameter!B$45,0,PMT(Parameter!$B$44,Parameter!$B$45-Parameter!$B$46,Parameter!$B$43)))</f>
        <v>0</v>
      </c>
      <c r="K28" s="32">
        <f>-M27*Parameter!$B$44</f>
        <v>0</v>
      </c>
      <c r="L28" s="32">
        <f>IF(A28&lt;=Parameter!$B$46,0,J28-K28)</f>
        <v>0</v>
      </c>
      <c r="M28" s="81">
        <f t="shared" si="1"/>
        <v>0</v>
      </c>
      <c r="N28" s="32">
        <f t="shared" si="3"/>
        <v>760.1302915370366</v>
      </c>
      <c r="O28" s="32"/>
      <c r="P28" s="31">
        <f>-Q27</f>
        <v>-166.66666666666606</v>
      </c>
      <c r="Q28" s="80">
        <f>Q27+P28</f>
        <v>0</v>
      </c>
      <c r="R28" s="32">
        <f t="shared" si="5"/>
        <v>243.49784903541797</v>
      </c>
      <c r="S28" s="32">
        <f>-R28*Parameter!$B$57</f>
        <v>-73.0493547106254</v>
      </c>
      <c r="T28" s="32">
        <f t="shared" si="2"/>
        <v>687.0809368264112</v>
      </c>
      <c r="U28" s="32">
        <f>T28/(1+Parameter!$B$50)^A28</f>
        <v>313.57477055132864</v>
      </c>
      <c r="V28" s="32">
        <f>V27+U28</f>
        <v>-59.42176582195361</v>
      </c>
    </row>
    <row r="29" spans="3:21" s="21" customFormat="1" ht="12.75">
      <c r="C29" s="32">
        <f>SUM(C8:C28)</f>
        <v>13669.919135330505</v>
      </c>
      <c r="D29" s="32">
        <f>SUM(D8:D28)</f>
        <v>5746.332678247527</v>
      </c>
      <c r="E29" s="35"/>
      <c r="F29" s="35"/>
      <c r="G29" s="35"/>
      <c r="H29" s="32"/>
      <c r="I29" s="82"/>
      <c r="J29" s="35"/>
      <c r="K29" s="35"/>
      <c r="L29" s="35"/>
      <c r="M29" s="82"/>
      <c r="N29" s="32">
        <f>SUM(N8:N28)</f>
        <v>1654.910232629261</v>
      </c>
      <c r="O29" s="32">
        <f>SUM(O8:O12)</f>
        <v>0</v>
      </c>
      <c r="P29" s="32">
        <f>SUM(P8:P28)</f>
        <v>-9999.999999999998</v>
      </c>
      <c r="Q29" s="82"/>
      <c r="R29" s="32">
        <f>SUM(R7:R28)</f>
        <v>-3066.422445618264</v>
      </c>
      <c r="S29" s="32"/>
      <c r="T29" s="32">
        <f>SUM(T7:T28)</f>
        <v>2574.8369663147396</v>
      </c>
      <c r="U29" s="32">
        <f>SUM(U7:U28)</f>
        <v>-59.42176582195361</v>
      </c>
    </row>
    <row r="30" spans="8:20" ht="12.75">
      <c r="H30" s="2"/>
      <c r="N30" s="36"/>
      <c r="S30" s="5" t="s">
        <v>108</v>
      </c>
      <c r="T30" s="36">
        <f>IRR(T7:T28,0)</f>
        <v>0.038645505867412694</v>
      </c>
    </row>
    <row r="31" spans="8:20" ht="12.75">
      <c r="H31" s="2"/>
      <c r="N31" s="36"/>
      <c r="S31" s="5" t="s">
        <v>109</v>
      </c>
      <c r="T31" s="36">
        <f>MIRR(T7:T28,T30,Parameter!B51)</f>
        <v>0.03316647458565081</v>
      </c>
    </row>
    <row r="32" ht="12.75">
      <c r="H32" s="2"/>
    </row>
  </sheetData>
  <sheetProtection sheet="1"/>
  <printOptions gridLines="1" horizontalCentered="1"/>
  <pageMargins left="0.3937007874015748" right="0.3937007874015748" top="0.984251968503937" bottom="0.984251968503937" header="0.5118110236220472" footer="0.5118110236220472"/>
  <pageSetup horizontalDpi="600" verticalDpi="600" orientation="landscape" paperSize="9"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C12" sqref="C12"/>
    </sheetView>
  </sheetViews>
  <sheetFormatPr defaultColWidth="9.140625" defaultRowHeight="12.75"/>
  <sheetData>
    <row r="1" spans="1:4" ht="12.75">
      <c r="A1" s="74" t="s">
        <v>68</v>
      </c>
      <c r="B1" s="75">
        <v>0.02</v>
      </c>
      <c r="C1" s="74">
        <v>1</v>
      </c>
      <c r="D1" s="75">
        <f>SUM(B1:B$12)</f>
        <v>1</v>
      </c>
    </row>
    <row r="2" spans="1:4" ht="12.75">
      <c r="A2" s="74" t="s">
        <v>69</v>
      </c>
      <c r="B2" s="75">
        <v>0.039</v>
      </c>
      <c r="C2" s="74">
        <v>2</v>
      </c>
      <c r="D2" s="75">
        <f>SUM(B2:B$12)</f>
        <v>0.9800000000000001</v>
      </c>
    </row>
    <row r="3" spans="1:4" ht="12.75">
      <c r="A3" s="74" t="s">
        <v>70</v>
      </c>
      <c r="B3" s="75">
        <v>0.07</v>
      </c>
      <c r="C3" s="74">
        <v>3</v>
      </c>
      <c r="D3" s="75">
        <f>SUM(B3:B$12)</f>
        <v>0.9410000000000001</v>
      </c>
    </row>
    <row r="4" spans="1:4" ht="12.75">
      <c r="A4" s="74" t="s">
        <v>71</v>
      </c>
      <c r="B4" s="75">
        <v>0.111</v>
      </c>
      <c r="C4" s="74">
        <v>4</v>
      </c>
      <c r="D4" s="75">
        <f>SUM(B4:B$12)</f>
        <v>0.8710000000000001</v>
      </c>
    </row>
    <row r="5" spans="1:4" ht="12.75">
      <c r="A5" s="74" t="s">
        <v>72</v>
      </c>
      <c r="B5" s="75">
        <v>0.146</v>
      </c>
      <c r="C5" s="74">
        <v>5</v>
      </c>
      <c r="D5" s="75">
        <f>SUM(B5:B$12)</f>
        <v>0.76</v>
      </c>
    </row>
    <row r="6" spans="1:4" ht="12.75">
      <c r="A6" s="74" t="s">
        <v>73</v>
      </c>
      <c r="B6" s="75">
        <v>0.153</v>
      </c>
      <c r="C6" s="74">
        <v>6</v>
      </c>
      <c r="D6" s="75">
        <f>SUM(B6:B$12)</f>
        <v>0.6140000000000001</v>
      </c>
    </row>
    <row r="7" spans="1:4" ht="12.75">
      <c r="A7" s="74" t="s">
        <v>74</v>
      </c>
      <c r="B7" s="75">
        <v>0.154</v>
      </c>
      <c r="C7" s="74">
        <v>7</v>
      </c>
      <c r="D7" s="75">
        <f>SUM(B7:B$12)</f>
        <v>0.4610000000000001</v>
      </c>
    </row>
    <row r="8" spans="1:4" ht="12.75">
      <c r="A8" s="74" t="s">
        <v>75</v>
      </c>
      <c r="B8" s="75">
        <v>0.134</v>
      </c>
      <c r="C8" s="74">
        <v>8</v>
      </c>
      <c r="D8" s="75">
        <f>SUM(B8:B$12)</f>
        <v>0.30700000000000005</v>
      </c>
    </row>
    <row r="9" spans="1:4" ht="12.75">
      <c r="A9" s="74" t="s">
        <v>76</v>
      </c>
      <c r="B9" s="75">
        <v>0.085</v>
      </c>
      <c r="C9" s="74">
        <v>9</v>
      </c>
      <c r="D9" s="75">
        <f>SUM(B9:B$12)</f>
        <v>0.173</v>
      </c>
    </row>
    <row r="10" spans="1:4" ht="12.75">
      <c r="A10" s="74" t="s">
        <v>77</v>
      </c>
      <c r="B10" s="75">
        <v>0.049</v>
      </c>
      <c r="C10" s="74">
        <v>10</v>
      </c>
      <c r="D10" s="75">
        <f>SUM(B10:B$12)</f>
        <v>0.08800000000000001</v>
      </c>
    </row>
    <row r="11" spans="1:4" ht="12.75">
      <c r="A11" s="74" t="s">
        <v>78</v>
      </c>
      <c r="B11" s="75">
        <v>0.023</v>
      </c>
      <c r="C11" s="74">
        <v>11</v>
      </c>
      <c r="D11" s="75">
        <f>SUM(B11:B$12)</f>
        <v>0.039</v>
      </c>
    </row>
    <row r="12" spans="1:4" ht="12.75">
      <c r="A12" s="74" t="s">
        <v>79</v>
      </c>
      <c r="B12" s="76">
        <v>0.016</v>
      </c>
      <c r="C12" s="74">
        <v>12</v>
      </c>
      <c r="D12" s="75">
        <f>B12</f>
        <v>0.016</v>
      </c>
    </row>
    <row r="13" spans="1:4" ht="12.75">
      <c r="A13" s="74"/>
      <c r="B13" s="75">
        <f>SUM(B1:B12)</f>
        <v>1</v>
      </c>
      <c r="C13" s="74"/>
      <c r="D13" s="75"/>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Körblein</dc:creator>
  <cp:keywords/>
  <dc:description/>
  <cp:lastModifiedBy>Alfred Körblein</cp:lastModifiedBy>
  <cp:lastPrinted>2009-12-23T09:28:26Z</cp:lastPrinted>
  <dcterms:created xsi:type="dcterms:W3CDTF">1999-10-30T15:36:17Z</dcterms:created>
  <dcterms:modified xsi:type="dcterms:W3CDTF">2012-04-16T11:26:03Z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